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500" windowWidth="28800" windowHeight="1594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fn.SINGLE" hidden="1">#NAME?</definedName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<sst xmlns="http://schemas.openxmlformats.org/spreadsheetml/2006/main" count="292" uniqueCount="89">
  <si>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</si>
  <si>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</si>
  <si>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</si>
  <si>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</si>
  <si>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</si>
  <si>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</si>
  <si>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</si>
  <si>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</si>
  <si>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</si>
  <si>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</si>
  <si>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</si>
  <si>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</si>
  <si>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</si>
  <si>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</si>
  <si>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</si>
  <si>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</si>
  <si>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</si>
  <si>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</si>
  <si>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</si>
  <si>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</si>
  <si>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</si>
  <si>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</si>
  <si>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</si>
  <si>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</si>
  <si>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</si>
  <si>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</si>
  <si>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</si>
  <si>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</si>
  <si>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</si>
  <si>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</si>
  <si>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</si>
  <si>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</si>
  <si>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</si>
  <si>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</si>
  <si>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</si>
  <si>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</si>
  <si>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</si>
  <si>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</si>
  <si>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</si>
  <si>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</si>
  <si>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</si>
  <si>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</si>
  <si>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</si>
  <si>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</si>
  <si>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</si>
  <si>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</si>
  <si>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</si>
  <si>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</si>
  <si>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</si>
  <si>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</si>
  <si>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</si>
  <si>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</si>
  <si>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</si>
  <si>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</si>
  <si>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</si>
  <si>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</si>
  <si>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</si>
  <si>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</si>
  <si>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</si>
  <si>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</si>
  <si>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</si>
  <si>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</si>
  <si>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</si>
  <si>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</si>
  <si>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</si>
  <si>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</si>
  <si>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</si>
  <si>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</si>
  <si>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</si>
  <si>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</si>
  <si>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</si>
  <si>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</si>
  <si>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</si>
  <si>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</si>
  <si>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</si>
  <si>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</si>
  <si>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</si>
  <si>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</si>
  <si>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Jahngymnasium</t>
  </si>
  <si>
    <t>Bürgelschule Rathenow 1</t>
  </si>
  <si>
    <t>MCG Hohen Neuendorf 1</t>
  </si>
  <si>
    <t>Regine Hildebrand Birkenwerder I</t>
  </si>
  <si>
    <t>Regine Hildebrand GS Birkenwerder II</t>
  </si>
  <si>
    <t>MCG Hohen Neuendorf 2</t>
  </si>
  <si>
    <t>Runge Gymnasium Oranienburg</t>
  </si>
  <si>
    <t>Bürgelschule Rathenow 2</t>
  </si>
  <si>
    <t>Beach Volleyball Premnitz</t>
  </si>
  <si>
    <t>Regionalfinale</t>
  </si>
  <si>
    <t>Premniz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</si>
</sst>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  <numFmt numFmtId="180" formatCode="0&quot;.&quot;"/>
    <numFmt numFmtId="181" formatCode="0\ &quot;:&quot;"/>
    <numFmt numFmtId="182" formatCode=";;;"/>
    <numFmt numFmtId="183" formatCode="0\ &quot;min&quot;"/>
    <numFmt numFmtId="184" formatCode="0;;\ &quot;min&quot;"/>
    <numFmt numFmtId="185" formatCode="[$-F800]dddd\,\ mmmm\ dd\,\ yyyy"/>
    <numFmt numFmtId="186" formatCode="&quot;Am&quot;\ dddd\,\ dd/\ mmmm\ yyyy"/>
    <numFmt numFmtId="187" formatCode="[=0]&quot;&quot;;0\ &quot;min&quot;"/>
    <numFmt numFmtId="188" formatCode="0.0"/>
    <numFmt numFmtId="189" formatCode="0.00000"/>
  </numFmts>
  <fonts count="74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3"/>
      <name val="Lucida Grand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6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4" fontId="15" fillId="0" borderId="0" xfId="0" applyNumberFormat="1" applyFont="1" applyAlignment="1" applyProtection="1">
      <alignment vertical="center"/>
      <protection hidden="1"/>
    </xf>
    <xf numFmtId="184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2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6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4" fontId="33" fillId="0" borderId="0" xfId="0" applyNumberFormat="1" applyFont="1" applyAlignment="1" applyProtection="1">
      <alignment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2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8" fontId="17" fillId="0" borderId="0" xfId="0" applyNumberFormat="1" applyFont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8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9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9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3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9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7" xfId="0" applyFont="1" applyBorder="1" applyAlignment="1" applyProtection="1">
      <alignment horizontal="left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/>
      <protection hidden="1"/>
    </xf>
    <xf numFmtId="0" fontId="14" fillId="35" borderId="33" xfId="0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176" fontId="14" fillId="0" borderId="36" xfId="0" applyNumberFormat="1" applyFont="1" applyFill="1" applyBorder="1" applyAlignment="1" applyProtection="1">
      <alignment horizontal="center" vertical="center"/>
      <protection hidden="1"/>
    </xf>
    <xf numFmtId="176" fontId="14" fillId="0" borderId="38" xfId="0" applyNumberFormat="1" applyFont="1" applyFill="1" applyBorder="1" applyAlignment="1" applyProtection="1">
      <alignment horizontal="center" vertical="center"/>
      <protection hidden="1"/>
    </xf>
    <xf numFmtId="0" fontId="14" fillId="36" borderId="39" xfId="0" applyFont="1" applyFill="1" applyBorder="1" applyAlignment="1" applyProtection="1">
      <alignment horizontal="center" vertical="center"/>
      <protection hidden="1"/>
    </xf>
    <xf numFmtId="0" fontId="14" fillId="36" borderId="40" xfId="0" applyFont="1" applyFill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5" borderId="39" xfId="0" applyFont="1" applyFill="1" applyBorder="1" applyAlignment="1" applyProtection="1">
      <alignment horizontal="center" vertical="center"/>
      <protection hidden="1"/>
    </xf>
    <xf numFmtId="0" fontId="14" fillId="35" borderId="40" xfId="0" applyFont="1" applyFill="1" applyBorder="1" applyAlignment="1" applyProtection="1">
      <alignment horizontal="center" vertical="center"/>
      <protection hidden="1"/>
    </xf>
    <xf numFmtId="181" fontId="17" fillId="0" borderId="28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4" fillId="37" borderId="42" xfId="0" applyNumberFormat="1" applyFont="1" applyFill="1" applyBorder="1" applyAlignment="1" applyProtection="1">
      <alignment horizontal="center" vertical="center"/>
      <protection hidden="1"/>
    </xf>
    <xf numFmtId="181" fontId="14" fillId="37" borderId="28" xfId="0" applyNumberFormat="1" applyFont="1" applyFill="1" applyBorder="1" applyAlignment="1" applyProtection="1">
      <alignment horizontal="center" vertical="center"/>
      <protection hidden="1"/>
    </xf>
    <xf numFmtId="0" fontId="14" fillId="32" borderId="39" xfId="0" applyFont="1" applyFill="1" applyBorder="1" applyAlignment="1" applyProtection="1">
      <alignment horizontal="center" vertical="center"/>
      <protection hidden="1"/>
    </xf>
    <xf numFmtId="176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176" fontId="17" fillId="0" borderId="41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40" xfId="0" applyFont="1" applyFill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45" xfId="0" applyFont="1" applyFill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7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6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181" fontId="17" fillId="0" borderId="36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6" xfId="0" applyFont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0" fontId="14" fillId="32" borderId="40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2" borderId="45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Fill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/>
      <protection hidden="1"/>
    </xf>
    <xf numFmtId="0" fontId="14" fillId="36" borderId="33" xfId="0" applyFont="1" applyFill="1" applyBorder="1" applyAlignment="1" applyProtection="1">
      <alignment horizontal="center" vertical="center"/>
      <protection hidden="1"/>
    </xf>
    <xf numFmtId="0" fontId="14" fillId="36" borderId="34" xfId="0" applyFont="1" applyFill="1" applyBorder="1" applyAlignment="1" applyProtection="1">
      <alignment horizontal="center" vertical="center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180" fontId="17" fillId="0" borderId="21" xfId="0" applyNumberFormat="1" applyFont="1" applyBorder="1" applyAlignment="1" applyProtection="1">
      <alignment horizontal="center" vertical="center" shrinkToFit="1"/>
      <protection hidden="1"/>
    </xf>
    <xf numFmtId="180" fontId="17" fillId="0" borderId="13" xfId="0" applyNumberFormat="1" applyFont="1" applyBorder="1" applyAlignment="1" applyProtection="1">
      <alignment horizontal="center" vertical="center" shrinkToFit="1"/>
      <protection hidden="1"/>
    </xf>
    <xf numFmtId="180" fontId="17" fillId="0" borderId="25" xfId="0" applyNumberFormat="1" applyFont="1" applyBorder="1" applyAlignment="1" applyProtection="1">
      <alignment horizontal="center" vertical="center" shrinkToFit="1"/>
      <protection hidden="1"/>
    </xf>
    <xf numFmtId="180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14" fillId="36" borderId="45" xfId="0" applyFont="1" applyFill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 shrinkToFit="1"/>
      <protection hidden="1"/>
    </xf>
    <xf numFmtId="0" fontId="14" fillId="38" borderId="33" xfId="0" applyFont="1" applyFill="1" applyBorder="1" applyAlignment="1" applyProtection="1">
      <alignment horizontal="center" vertical="center" shrinkToFit="1"/>
      <protection hidden="1"/>
    </xf>
    <xf numFmtId="0" fontId="14" fillId="38" borderId="34" xfId="0" applyFont="1" applyFill="1" applyBorder="1" applyAlignment="1" applyProtection="1">
      <alignment horizontal="center" vertical="center" shrinkToFit="1"/>
      <protection hidden="1"/>
    </xf>
    <xf numFmtId="180" fontId="17" fillId="0" borderId="23" xfId="0" applyNumberFormat="1" applyFont="1" applyBorder="1" applyAlignment="1" applyProtection="1">
      <alignment horizontal="center" vertical="center" shrinkToFit="1"/>
      <protection hidden="1"/>
    </xf>
    <xf numFmtId="180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39" xfId="0" applyFont="1" applyFill="1" applyBorder="1" applyAlignment="1" applyProtection="1">
      <alignment horizontal="center" vertical="center" shrinkToFit="1"/>
      <protection hidden="1"/>
    </xf>
    <xf numFmtId="0" fontId="14" fillId="38" borderId="40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2" xfId="0" applyNumberFormat="1" applyFont="1" applyBorder="1" applyAlignment="1" applyProtection="1">
      <alignment horizontal="center" vertical="center" shrinkToFit="1"/>
      <protection hidden="1"/>
    </xf>
    <xf numFmtId="1" fontId="17" fillId="0" borderId="28" xfId="0" applyNumberFormat="1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0" fontId="14" fillId="39" borderId="33" xfId="0" applyFont="1" applyFill="1" applyBorder="1" applyAlignment="1" applyProtection="1">
      <alignment horizontal="center" vertical="center" shrinkToFit="1"/>
      <protection hidden="1"/>
    </xf>
    <xf numFmtId="0" fontId="14" fillId="39" borderId="45" xfId="0" applyFont="1" applyFill="1" applyBorder="1" applyAlignment="1" applyProtection="1">
      <alignment horizontal="center" vertical="center" shrinkToFit="1"/>
      <protection hidden="1"/>
    </xf>
    <xf numFmtId="0" fontId="14" fillId="39" borderId="40" xfId="0" applyFont="1" applyFill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4" fillId="39" borderId="34" xfId="0" applyFont="1" applyFill="1" applyBorder="1" applyAlignment="1" applyProtection="1">
      <alignment horizontal="center" vertical="center" shrinkToFit="1"/>
      <protection hidden="1"/>
    </xf>
    <xf numFmtId="0" fontId="14" fillId="39" borderId="39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45" xfId="0" applyFont="1" applyFill="1" applyBorder="1" applyAlignment="1" applyProtection="1">
      <alignment horizontal="center" vertical="center" shrinkToFit="1"/>
      <protection hidden="1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4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38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/>
      <protection hidden="1"/>
    </xf>
    <xf numFmtId="0" fontId="14" fillId="39" borderId="32" xfId="0" applyFont="1" applyFill="1" applyBorder="1" applyAlignment="1" applyProtection="1">
      <alignment horizontal="center" vertical="center"/>
      <protection hidden="1"/>
    </xf>
    <xf numFmtId="0" fontId="14" fillId="39" borderId="33" xfId="0" applyFont="1" applyFill="1" applyBorder="1" applyAlignment="1" applyProtection="1">
      <alignment horizontal="center" vertical="center"/>
      <protection hidden="1"/>
    </xf>
    <xf numFmtId="0" fontId="14" fillId="39" borderId="34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39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181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6" fontId="14" fillId="0" borderId="0" xfId="0" applyNumberFormat="1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textRotation="90" shrinkToFit="1"/>
      <protection hidden="1"/>
    </xf>
    <xf numFmtId="0" fontId="14" fillId="38" borderId="36" xfId="0" applyFont="1" applyFill="1" applyBorder="1" applyAlignment="1" applyProtection="1">
      <alignment horizontal="center" textRotation="90" shrinkToFit="1"/>
      <protection hidden="1"/>
    </xf>
    <xf numFmtId="0" fontId="14" fillId="38" borderId="6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37" xfId="0" applyFont="1" applyFill="1" applyBorder="1" applyAlignment="1" applyProtection="1">
      <alignment horizontal="center" textRotation="90" shrinkToFit="1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43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8" borderId="74" xfId="0" applyFont="1" applyFill="1" applyBorder="1" applyAlignment="1" applyProtection="1">
      <alignment horizontal="center" textRotation="90" shrinkToFit="1"/>
      <protection hidden="1"/>
    </xf>
    <xf numFmtId="0" fontId="14" fillId="38" borderId="75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9" borderId="77" xfId="0" applyFont="1" applyFill="1" applyBorder="1" applyAlignment="1" applyProtection="1">
      <alignment horizontal="center" textRotation="90"/>
      <protection hidden="1"/>
    </xf>
    <xf numFmtId="0" fontId="14" fillId="39" borderId="78" xfId="0" applyFont="1" applyFill="1" applyBorder="1" applyAlignment="1" applyProtection="1">
      <alignment horizontal="center" textRotation="90"/>
      <protection hidden="1"/>
    </xf>
    <xf numFmtId="0" fontId="14" fillId="39" borderId="79" xfId="0" applyFont="1" applyFill="1" applyBorder="1" applyAlignment="1" applyProtection="1">
      <alignment horizontal="center" textRotation="90"/>
      <protection hidden="1"/>
    </xf>
    <xf numFmtId="0" fontId="14" fillId="39" borderId="32" xfId="0" applyFont="1" applyFill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87" fontId="14" fillId="0" borderId="0" xfId="0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9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6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0" fillId="35" borderId="40" xfId="0" applyFont="1" applyFill="1" applyBorder="1" applyAlignment="1" applyProtection="1">
      <alignment horizontal="center" vertical="center"/>
      <protection hidden="1"/>
    </xf>
    <xf numFmtId="0" fontId="10" fillId="35" borderId="33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0" fillId="32" borderId="40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45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0" fontId="10" fillId="36" borderId="45" xfId="0" applyFont="1" applyFill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39" xfId="0" applyFont="1" applyFill="1" applyBorder="1" applyAlignment="1" applyProtection="1">
      <alignment horizontal="center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39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39" xfId="0" applyFont="1" applyFill="1" applyBorder="1" applyAlignment="1" applyProtection="1">
      <alignment horizontal="center" vertical="center"/>
      <protection hidden="1"/>
    </xf>
    <xf numFmtId="0" fontId="10" fillId="34" borderId="40" xfId="0" applyFont="1" applyFill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2" xfId="0" applyFont="1" applyFill="1" applyBorder="1" applyAlignment="1" applyProtection="1">
      <alignment horizontal="center" vertical="center" shrinkToFit="1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41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34" xfId="0" applyFont="1" applyFill="1" applyBorder="1" applyAlignment="1" applyProtection="1">
      <alignment horizontal="center" vertical="center"/>
      <protection hidden="1"/>
    </xf>
    <xf numFmtId="0" fontId="10" fillId="39" borderId="32" xfId="0" applyFont="1" applyFill="1" applyBorder="1" applyAlignment="1" applyProtection="1">
      <alignment horizontal="center" vertical="center"/>
      <protection hidden="1"/>
    </xf>
    <xf numFmtId="0" fontId="10" fillId="39" borderId="33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/>
      <protection hidden="1"/>
    </xf>
    <xf numFmtId="183" fontId="10" fillId="0" borderId="0" xfId="0" applyNumberFormat="1" applyFont="1" applyBorder="1" applyAlignment="1" applyProtection="1">
      <alignment horizontal="center" vertical="center"/>
      <protection hidden="1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41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left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180" fontId="10" fillId="0" borderId="25" xfId="0" applyNumberFormat="1" applyFont="1" applyBorder="1" applyAlignment="1" applyProtection="1">
      <alignment horizontal="center" vertical="center" shrinkToFit="1"/>
      <protection hidden="1"/>
    </xf>
    <xf numFmtId="180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80" fontId="10" fillId="0" borderId="21" xfId="0" applyNumberFormat="1" applyFont="1" applyBorder="1" applyAlignment="1" applyProtection="1">
      <alignment horizontal="center" vertical="center" shrinkToFit="1"/>
      <protection hidden="1"/>
    </xf>
    <xf numFmtId="180" fontId="10" fillId="0" borderId="13" xfId="0" applyNumberFormat="1" applyFont="1" applyBorder="1" applyAlignment="1" applyProtection="1">
      <alignment horizontal="center" vertical="center" shrinkToFit="1"/>
      <protection hidden="1"/>
    </xf>
    <xf numFmtId="183" fontId="10" fillId="0" borderId="0" xfId="0" applyNumberFormat="1" applyFont="1" applyBorder="1" applyAlignment="1" applyProtection="1">
      <alignment horizontal="left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81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28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7" xfId="0" applyFont="1" applyFill="1" applyBorder="1" applyAlignment="1" applyProtection="1">
      <alignment horizontal="center" vertical="center" shrinkToFit="1"/>
      <protection hidden="1"/>
    </xf>
    <xf numFmtId="181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center" vertical="center" shrinkToFit="1"/>
      <protection hidden="1"/>
    </xf>
    <xf numFmtId="0" fontId="10" fillId="39" borderId="40" xfId="0" applyFont="1" applyFill="1" applyBorder="1" applyAlignment="1" applyProtection="1">
      <alignment horizontal="center" vertical="center" shrinkToFit="1"/>
      <protection hidden="1"/>
    </xf>
    <xf numFmtId="0" fontId="10" fillId="39" borderId="33" xfId="0" applyFont="1" applyFill="1" applyBorder="1" applyAlignment="1" applyProtection="1">
      <alignment horizontal="center" vertical="center" shrinkToFit="1"/>
      <protection hidden="1"/>
    </xf>
    <xf numFmtId="0" fontId="10" fillId="39" borderId="45" xfId="0" applyFont="1" applyFill="1" applyBorder="1" applyAlignment="1" applyProtection="1">
      <alignment horizontal="center" vertical="center" shrinkToFit="1"/>
      <protection hidden="1"/>
    </xf>
    <xf numFmtId="1" fontId="10" fillId="0" borderId="42" xfId="0" applyNumberFormat="1" applyFont="1" applyBorder="1" applyAlignment="1" applyProtection="1">
      <alignment horizontal="center" vertical="center" shrinkToFit="1"/>
      <protection hidden="1"/>
    </xf>
    <xf numFmtId="1" fontId="10" fillId="0" borderId="28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42" xfId="0" applyFont="1" applyBorder="1" applyAlignment="1" applyProtection="1">
      <alignment horizontal="center" vertical="center" shrinkToFit="1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43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7" xfId="0" applyFont="1" applyFill="1" applyBorder="1" applyAlignment="1" applyProtection="1">
      <alignment horizontal="center" textRotation="90"/>
      <protection hidden="1"/>
    </xf>
    <xf numFmtId="0" fontId="31" fillId="39" borderId="78" xfId="0" applyFont="1" applyFill="1" applyBorder="1" applyAlignment="1" applyProtection="1">
      <alignment horizontal="center" textRotation="90"/>
      <protection hidden="1"/>
    </xf>
    <xf numFmtId="0" fontId="31" fillId="39" borderId="79" xfId="0" applyFont="1" applyFill="1" applyBorder="1" applyAlignment="1" applyProtection="1">
      <alignment horizontal="center" textRotation="90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39" xfId="0" applyFont="1" applyFill="1" applyBorder="1" applyAlignment="1" applyProtection="1">
      <alignment horizontal="center" vertical="center" shrinkToFit="1"/>
      <protection hidden="1"/>
    </xf>
    <xf numFmtId="0" fontId="10" fillId="38" borderId="40" xfId="0" applyFont="1" applyFill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0" fontId="10" fillId="39" borderId="34" xfId="0" applyFont="1" applyFill="1" applyBorder="1" applyAlignment="1" applyProtection="1">
      <alignment horizontal="center" vertical="center" shrinkToFit="1"/>
      <protection hidden="1"/>
    </xf>
    <xf numFmtId="0" fontId="10" fillId="39" borderId="39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38" borderId="45" xfId="0" applyFont="1" applyFill="1" applyBorder="1" applyAlignment="1" applyProtection="1">
      <alignment horizontal="center" vertical="center" shrinkToFit="1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43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181" fontId="10" fillId="0" borderId="36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81" fontId="10" fillId="37" borderId="42" xfId="0" applyNumberFormat="1" applyFont="1" applyFill="1" applyBorder="1" applyAlignment="1" applyProtection="1">
      <alignment horizontal="center" vertical="center"/>
      <protection hidden="1"/>
    </xf>
    <xf numFmtId="181" fontId="10" fillId="37" borderId="28" xfId="0" applyNumberFormat="1" applyFont="1" applyFill="1" applyBorder="1" applyAlignment="1" applyProtection="1">
      <alignment horizontal="center" vertical="center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77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78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79" xfId="0" applyFont="1" applyFill="1" applyBorder="1" applyAlignment="1" applyProtection="1">
      <alignment horizontal="center" textRotation="90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180" fontId="10" fillId="0" borderId="23" xfId="0" applyNumberFormat="1" applyFont="1" applyBorder="1" applyAlignment="1" applyProtection="1">
      <alignment horizontal="center" vertical="center" shrinkToFit="1"/>
      <protection hidden="1"/>
    </xf>
    <xf numFmtId="180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2" xfId="0" applyFont="1" applyFill="1" applyBorder="1" applyAlignment="1" applyProtection="1">
      <alignment horizontal="center" vertical="center" shrinkToFit="1"/>
      <protection hidden="1"/>
    </xf>
    <xf numFmtId="0" fontId="10" fillId="38" borderId="33" xfId="0" applyFont="1" applyFill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176" fontId="10" fillId="0" borderId="36" xfId="0" applyNumberFormat="1" applyFont="1" applyFill="1" applyBorder="1" applyAlignment="1" applyProtection="1">
      <alignment horizontal="center" vertical="center"/>
      <protection hidden="1"/>
    </xf>
    <xf numFmtId="176" fontId="10" fillId="0" borderId="38" xfId="0" applyNumberFormat="1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186" fontId="10" fillId="0" borderId="0" xfId="0" applyNumberFormat="1" applyFont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39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/>
      <protection hidden="1"/>
    </xf>
    <xf numFmtId="0" fontId="10" fillId="35" borderId="34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10" fillId="36" borderId="32" xfId="0" applyFont="1" applyFill="1" applyBorder="1" applyAlignment="1" applyProtection="1">
      <alignment horizontal="center" vertical="center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2" borderId="34" xfId="0" applyFont="1" applyFill="1" applyBorder="1" applyAlignment="1" applyProtection="1">
      <alignment horizontal="center" vertical="center"/>
      <protection hidden="1"/>
    </xf>
    <xf numFmtId="0" fontId="10" fillId="39" borderId="32" xfId="0" applyFont="1" applyFill="1" applyBorder="1" applyAlignment="1" applyProtection="1">
      <alignment horizontal="center" vertical="center" shrinkToFit="1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X11" sqref="X11:AB11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68" t="s">
        <v>87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67" t="s">
        <v>86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69">
        <v>44818</v>
      </c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65" t="s">
        <v>88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8" t="s">
        <v>62</v>
      </c>
      <c r="C11" s="198"/>
      <c r="D11" s="198"/>
      <c r="E11" s="198"/>
      <c r="F11" s="198"/>
      <c r="G11" s="198"/>
      <c r="H11" s="199">
        <v>0.4166666666666667</v>
      </c>
      <c r="I11" s="199"/>
      <c r="J11" s="199"/>
      <c r="K11" s="199"/>
      <c r="L11" s="17" t="s">
        <v>0</v>
      </c>
      <c r="T11" s="45" t="s">
        <v>1</v>
      </c>
      <c r="U11" s="200">
        <v>1</v>
      </c>
      <c r="V11" s="200"/>
      <c r="W11" s="46" t="s">
        <v>2</v>
      </c>
      <c r="X11" s="201">
        <v>10</v>
      </c>
      <c r="Y11" s="201"/>
      <c r="Z11" s="201"/>
      <c r="AA11" s="201"/>
      <c r="AB11" s="201"/>
      <c r="AC11" s="379">
        <f>IF(U11=2,"Halbzeit:","")</f>
      </c>
      <c r="AD11" s="379"/>
      <c r="AE11" s="379"/>
      <c r="AF11" s="379"/>
      <c r="AG11" s="379"/>
      <c r="AH11" s="379"/>
      <c r="AI11" s="201"/>
      <c r="AJ11" s="201"/>
      <c r="AK11" s="201"/>
      <c r="AL11" s="201"/>
      <c r="AM11" s="201"/>
      <c r="AN11" s="198" t="s">
        <v>3</v>
      </c>
      <c r="AO11" s="198"/>
      <c r="AP11" s="198"/>
      <c r="AQ11" s="198"/>
      <c r="AR11" s="198"/>
      <c r="AS11" s="198"/>
      <c r="AT11" s="198"/>
      <c r="AU11" s="198"/>
      <c r="AV11" s="198"/>
      <c r="AW11" s="193">
        <v>3</v>
      </c>
      <c r="AX11" s="193"/>
      <c r="AY11" s="193"/>
      <c r="AZ11" s="193"/>
      <c r="BA11" s="19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8" t="s">
        <v>62</v>
      </c>
      <c r="C14" s="198"/>
      <c r="D14" s="198"/>
      <c r="E14" s="198"/>
      <c r="F14" s="198"/>
      <c r="G14" s="198"/>
      <c r="H14" s="199">
        <f>H38+TEXT(2*$U$11*($X$11/1440)+($AI$11/1440)+($AW$11/1440),"hh:mm")</f>
        <v>0.5319444444444447</v>
      </c>
      <c r="I14" s="199"/>
      <c r="J14" s="199"/>
      <c r="K14" s="199"/>
      <c r="L14" s="17" t="s">
        <v>0</v>
      </c>
      <c r="T14" s="45" t="s">
        <v>1</v>
      </c>
      <c r="U14" s="200">
        <f>U11</f>
        <v>1</v>
      </c>
      <c r="V14" s="200"/>
      <c r="W14" s="46" t="s">
        <v>2</v>
      </c>
      <c r="X14" s="201">
        <f>X11</f>
        <v>10</v>
      </c>
      <c r="Y14" s="201"/>
      <c r="Z14" s="201"/>
      <c r="AA14" s="201"/>
      <c r="AB14" s="201"/>
      <c r="AC14" s="379">
        <f>IF(U14=2,"Halbzeit:","")</f>
      </c>
      <c r="AD14" s="379"/>
      <c r="AE14" s="379"/>
      <c r="AF14" s="379"/>
      <c r="AG14" s="379"/>
      <c r="AH14" s="379"/>
      <c r="AI14" s="416">
        <f>AI11</f>
        <v>0</v>
      </c>
      <c r="AJ14" s="416"/>
      <c r="AK14" s="416"/>
      <c r="AL14" s="416"/>
      <c r="AM14" s="416"/>
      <c r="AN14" s="198" t="s">
        <v>3</v>
      </c>
      <c r="AO14" s="198"/>
      <c r="AP14" s="198"/>
      <c r="AQ14" s="198"/>
      <c r="AR14" s="198"/>
      <c r="AS14" s="198"/>
      <c r="AT14" s="198"/>
      <c r="AU14" s="198"/>
      <c r="AV14" s="198"/>
      <c r="AW14" s="193">
        <f>AW11</f>
        <v>3</v>
      </c>
      <c r="AX14" s="193"/>
      <c r="AY14" s="193"/>
      <c r="AZ14" s="193"/>
      <c r="BA14" s="19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3" t="s">
        <v>5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AC18" s="350" t="s">
        <v>6</v>
      </c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2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76" t="s">
        <v>79</v>
      </c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8"/>
      <c r="Y19" s="156" t="s">
        <v>58</v>
      </c>
      <c r="AB19" s="117">
        <v>1</v>
      </c>
      <c r="AC19" s="376" t="s">
        <v>81</v>
      </c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8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73" t="s">
        <v>78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  <c r="Y20" s="156" t="s">
        <v>59</v>
      </c>
      <c r="AB20" s="117">
        <v>2</v>
      </c>
      <c r="AC20" s="373" t="s">
        <v>83</v>
      </c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5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73" t="s">
        <v>80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5"/>
      <c r="Y21" s="156" t="s">
        <v>60</v>
      </c>
      <c r="AB21" s="117">
        <v>3</v>
      </c>
      <c r="AC21" s="373" t="s">
        <v>84</v>
      </c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5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70" t="s">
        <v>82</v>
      </c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2"/>
      <c r="AB22" s="117">
        <v>4</v>
      </c>
      <c r="AC22" s="370" t="s">
        <v>85</v>
      </c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2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8" t="s">
        <v>9</v>
      </c>
      <c r="D26" s="359"/>
      <c r="E26" s="246" t="s">
        <v>10</v>
      </c>
      <c r="F26" s="247"/>
      <c r="G26" s="248"/>
      <c r="H26" s="246" t="s">
        <v>63</v>
      </c>
      <c r="I26" s="247"/>
      <c r="J26" s="247"/>
      <c r="K26" s="248"/>
      <c r="L26" s="246" t="s">
        <v>11</v>
      </c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8"/>
      <c r="BC26" s="246" t="s">
        <v>12</v>
      </c>
      <c r="BD26" s="247"/>
      <c r="BE26" s="247"/>
      <c r="BF26" s="247"/>
      <c r="BG26" s="247"/>
      <c r="BH26" s="118"/>
    </row>
    <row r="27" spans="3:60" s="22" customFormat="1" ht="18" customHeight="1">
      <c r="C27" s="363">
        <v>1</v>
      </c>
      <c r="D27" s="364"/>
      <c r="E27" s="364" t="s">
        <v>13</v>
      </c>
      <c r="F27" s="364"/>
      <c r="G27" s="364"/>
      <c r="H27" s="256">
        <f>$H$11</f>
        <v>0.4166666666666667</v>
      </c>
      <c r="I27" s="257"/>
      <c r="J27" s="257"/>
      <c r="K27" s="258"/>
      <c r="L27" s="254" t="str">
        <f>$D$19</f>
        <v>Bürgelschule Rathenow 1</v>
      </c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120" t="s">
        <v>14</v>
      </c>
      <c r="AH27" s="255" t="str">
        <f>$D$20</f>
        <v>Jahngymnasium</v>
      </c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84"/>
      <c r="BC27" s="267">
        <v>2</v>
      </c>
      <c r="BD27" s="362"/>
      <c r="BE27" s="362"/>
      <c r="BF27" s="241">
        <v>1</v>
      </c>
      <c r="BG27" s="241"/>
      <c r="BH27" s="121"/>
    </row>
    <row r="28" spans="3:60" s="22" customFormat="1" ht="18" customHeight="1" thickBot="1">
      <c r="C28" s="339">
        <v>2</v>
      </c>
      <c r="D28" s="242"/>
      <c r="E28" s="242" t="s">
        <v>13</v>
      </c>
      <c r="F28" s="242"/>
      <c r="G28" s="242"/>
      <c r="H28" s="238">
        <f>H27+TEXT($U$11*($X$11/1440)+($AI$11/1440)+($AW$11/1440),"hh:mm")</f>
        <v>0.4256944444444445</v>
      </c>
      <c r="I28" s="239"/>
      <c r="J28" s="239"/>
      <c r="K28" s="240"/>
      <c r="L28" s="252" t="str">
        <f>$D$21</f>
        <v>MCG Hohen Neuendorf 1</v>
      </c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109" t="s">
        <v>14</v>
      </c>
      <c r="AH28" s="253" t="str">
        <f>$D$22</f>
        <v>Regine Hildebrand GS Birkenwerder II</v>
      </c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64"/>
      <c r="BC28" s="231">
        <v>3</v>
      </c>
      <c r="BD28" s="232"/>
      <c r="BE28" s="232"/>
      <c r="BF28" s="262">
        <v>0</v>
      </c>
      <c r="BG28" s="263"/>
      <c r="BH28" s="121"/>
    </row>
    <row r="29" spans="3:60" s="22" customFormat="1" ht="18" customHeight="1">
      <c r="C29" s="340">
        <v>3</v>
      </c>
      <c r="D29" s="338"/>
      <c r="E29" s="338" t="s">
        <v>15</v>
      </c>
      <c r="F29" s="338"/>
      <c r="G29" s="338"/>
      <c r="H29" s="243">
        <f aca="true" t="shared" si="0" ref="H29:H37">H28+TEXT($U$11*($X$11/1440)+($AI$11/1440)+($AW$11/1440),"hh:mm")</f>
        <v>0.4347222222222223</v>
      </c>
      <c r="I29" s="244"/>
      <c r="J29" s="244"/>
      <c r="K29" s="245"/>
      <c r="L29" s="259" t="str">
        <f>$AC$19</f>
        <v>Regine Hildebrand Birkenwerder I</v>
      </c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191" t="s">
        <v>14</v>
      </c>
      <c r="AH29" s="260" t="str">
        <f>$AC$20</f>
        <v>MCG Hohen Neuendorf 2</v>
      </c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5"/>
      <c r="BC29" s="233">
        <v>2</v>
      </c>
      <c r="BD29" s="234"/>
      <c r="BE29" s="234"/>
      <c r="BF29" s="261">
        <v>1</v>
      </c>
      <c r="BG29" s="261"/>
      <c r="BH29" s="121"/>
    </row>
    <row r="30" spans="3:60" s="22" customFormat="1" ht="18" customHeight="1" thickBot="1">
      <c r="C30" s="339">
        <v>4</v>
      </c>
      <c r="D30" s="242"/>
      <c r="E30" s="242" t="s">
        <v>15</v>
      </c>
      <c r="F30" s="242"/>
      <c r="G30" s="242"/>
      <c r="H30" s="238">
        <f t="shared" si="0"/>
        <v>0.4437500000000001</v>
      </c>
      <c r="I30" s="239"/>
      <c r="J30" s="239"/>
      <c r="K30" s="240"/>
      <c r="L30" s="252" t="str">
        <f>$AC$21</f>
        <v>Runge Gymnasium Oranienburg</v>
      </c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109" t="s">
        <v>14</v>
      </c>
      <c r="AH30" s="253" t="str">
        <f>$AC$22</f>
        <v>Bürgelschule Rathenow 2</v>
      </c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64"/>
      <c r="BC30" s="231">
        <v>2</v>
      </c>
      <c r="BD30" s="232"/>
      <c r="BE30" s="232"/>
      <c r="BF30" s="262">
        <v>1</v>
      </c>
      <c r="BG30" s="263"/>
      <c r="BH30" s="121"/>
    </row>
    <row r="31" spans="3:60" s="22" customFormat="1" ht="18" customHeight="1">
      <c r="C31" s="340">
        <v>5</v>
      </c>
      <c r="D31" s="338"/>
      <c r="E31" s="338" t="s">
        <v>13</v>
      </c>
      <c r="F31" s="338"/>
      <c r="G31" s="338"/>
      <c r="H31" s="243">
        <f t="shared" si="0"/>
        <v>0.4527777777777779</v>
      </c>
      <c r="I31" s="244"/>
      <c r="J31" s="244"/>
      <c r="K31" s="245"/>
      <c r="L31" s="259" t="str">
        <f>$D$19</f>
        <v>Bürgelschule Rathenow 1</v>
      </c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191" t="s">
        <v>14</v>
      </c>
      <c r="AH31" s="260" t="str">
        <f>$D$21</f>
        <v>MCG Hohen Neuendorf 1</v>
      </c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5"/>
      <c r="BC31" s="233">
        <v>1</v>
      </c>
      <c r="BD31" s="234"/>
      <c r="BE31" s="234"/>
      <c r="BF31" s="261">
        <v>2</v>
      </c>
      <c r="BG31" s="261"/>
      <c r="BH31" s="121"/>
    </row>
    <row r="32" spans="3:60" s="22" customFormat="1" ht="18" customHeight="1" thickBot="1">
      <c r="C32" s="339">
        <v>6</v>
      </c>
      <c r="D32" s="242"/>
      <c r="E32" s="242" t="s">
        <v>13</v>
      </c>
      <c r="F32" s="242"/>
      <c r="G32" s="242"/>
      <c r="H32" s="238">
        <f t="shared" si="0"/>
        <v>0.4618055555555557</v>
      </c>
      <c r="I32" s="239"/>
      <c r="J32" s="239"/>
      <c r="K32" s="240"/>
      <c r="L32" s="252" t="str">
        <f>$D$20</f>
        <v>Jahngymnasium</v>
      </c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109" t="s">
        <v>14</v>
      </c>
      <c r="AH32" s="253" t="str">
        <f>$D$22</f>
        <v>Regine Hildebrand GS Birkenwerder II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64"/>
      <c r="BC32" s="231">
        <v>2</v>
      </c>
      <c r="BD32" s="232"/>
      <c r="BE32" s="232"/>
      <c r="BF32" s="262">
        <v>1</v>
      </c>
      <c r="BG32" s="263"/>
      <c r="BH32" s="121"/>
    </row>
    <row r="33" spans="3:60" s="22" customFormat="1" ht="18" customHeight="1">
      <c r="C33" s="340">
        <v>7</v>
      </c>
      <c r="D33" s="338"/>
      <c r="E33" s="338" t="s">
        <v>15</v>
      </c>
      <c r="F33" s="338"/>
      <c r="G33" s="338"/>
      <c r="H33" s="243">
        <f t="shared" si="0"/>
        <v>0.4708333333333335</v>
      </c>
      <c r="I33" s="244"/>
      <c r="J33" s="244"/>
      <c r="K33" s="245"/>
      <c r="L33" s="259" t="str">
        <f>$AC$19</f>
        <v>Regine Hildebrand Birkenwerder I</v>
      </c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191" t="s">
        <v>14</v>
      </c>
      <c r="AH33" s="260" t="str">
        <f>$AC$21</f>
        <v>Runge Gymnasium Oranienburg</v>
      </c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5"/>
      <c r="BC33" s="233">
        <v>3</v>
      </c>
      <c r="BD33" s="234"/>
      <c r="BE33" s="234"/>
      <c r="BF33" s="261">
        <v>0</v>
      </c>
      <c r="BG33" s="261"/>
      <c r="BH33" s="121"/>
    </row>
    <row r="34" spans="3:60" s="22" customFormat="1" ht="18" customHeight="1" thickBot="1">
      <c r="C34" s="339">
        <v>8</v>
      </c>
      <c r="D34" s="242"/>
      <c r="E34" s="242" t="s">
        <v>15</v>
      </c>
      <c r="F34" s="242"/>
      <c r="G34" s="242"/>
      <c r="H34" s="238">
        <f t="shared" si="0"/>
        <v>0.4798611111111113</v>
      </c>
      <c r="I34" s="239"/>
      <c r="J34" s="239"/>
      <c r="K34" s="240"/>
      <c r="L34" s="252" t="str">
        <f>$AC$20</f>
        <v>MCG Hohen Neuendorf 2</v>
      </c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109" t="s">
        <v>14</v>
      </c>
      <c r="AH34" s="253" t="str">
        <f>$AC$22</f>
        <v>Bürgelschule Rathenow 2</v>
      </c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64"/>
      <c r="BC34" s="231">
        <v>3</v>
      </c>
      <c r="BD34" s="232"/>
      <c r="BE34" s="232"/>
      <c r="BF34" s="262">
        <v>0</v>
      </c>
      <c r="BG34" s="263"/>
      <c r="BH34" s="121"/>
    </row>
    <row r="35" spans="3:60" s="22" customFormat="1" ht="18" customHeight="1">
      <c r="C35" s="340">
        <v>9</v>
      </c>
      <c r="D35" s="338"/>
      <c r="E35" s="338" t="s">
        <v>13</v>
      </c>
      <c r="F35" s="338"/>
      <c r="G35" s="338"/>
      <c r="H35" s="243">
        <f t="shared" si="0"/>
        <v>0.4888888888888891</v>
      </c>
      <c r="I35" s="244"/>
      <c r="J35" s="244"/>
      <c r="K35" s="245"/>
      <c r="L35" s="259" t="str">
        <f>$D$22</f>
        <v>Regine Hildebrand GS Birkenwerder II</v>
      </c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191" t="s">
        <v>14</v>
      </c>
      <c r="AH35" s="260" t="str">
        <f>$D$19</f>
        <v>Bürgelschule Rathenow 1</v>
      </c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5"/>
      <c r="BC35" s="233">
        <v>0</v>
      </c>
      <c r="BD35" s="234"/>
      <c r="BE35" s="234"/>
      <c r="BF35" s="261">
        <v>3</v>
      </c>
      <c r="BG35" s="261"/>
      <c r="BH35" s="121"/>
    </row>
    <row r="36" spans="3:60" s="22" customFormat="1" ht="18" customHeight="1" thickBot="1">
      <c r="C36" s="339">
        <v>10</v>
      </c>
      <c r="D36" s="242"/>
      <c r="E36" s="242" t="s">
        <v>13</v>
      </c>
      <c r="F36" s="242"/>
      <c r="G36" s="242"/>
      <c r="H36" s="238">
        <f t="shared" si="0"/>
        <v>0.4979166666666669</v>
      </c>
      <c r="I36" s="239"/>
      <c r="J36" s="239"/>
      <c r="K36" s="240"/>
      <c r="L36" s="252" t="str">
        <f>$D$21</f>
        <v>MCG Hohen Neuendorf 1</v>
      </c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109" t="s">
        <v>14</v>
      </c>
      <c r="AH36" s="253" t="str">
        <f>$D$20</f>
        <v>Jahngymnasium</v>
      </c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64"/>
      <c r="BC36" s="231">
        <v>2</v>
      </c>
      <c r="BD36" s="232"/>
      <c r="BE36" s="232"/>
      <c r="BF36" s="262">
        <v>1</v>
      </c>
      <c r="BG36" s="263"/>
      <c r="BH36" s="121"/>
    </row>
    <row r="37" spans="3:60" s="22" customFormat="1" ht="18" customHeight="1">
      <c r="C37" s="340">
        <v>11</v>
      </c>
      <c r="D37" s="338"/>
      <c r="E37" s="338" t="s">
        <v>15</v>
      </c>
      <c r="F37" s="338"/>
      <c r="G37" s="338"/>
      <c r="H37" s="243">
        <f t="shared" si="0"/>
        <v>0.5069444444444446</v>
      </c>
      <c r="I37" s="244"/>
      <c r="J37" s="244"/>
      <c r="K37" s="245"/>
      <c r="L37" s="259" t="str">
        <f>$AC$22</f>
        <v>Bürgelschule Rathenow 2</v>
      </c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191" t="s">
        <v>14</v>
      </c>
      <c r="AH37" s="260" t="str">
        <f>$AC$19</f>
        <v>Regine Hildebrand Birkenwerder I</v>
      </c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5"/>
      <c r="BC37" s="233">
        <v>2</v>
      </c>
      <c r="BD37" s="234"/>
      <c r="BE37" s="234"/>
      <c r="BF37" s="261">
        <v>1</v>
      </c>
      <c r="BG37" s="261"/>
      <c r="BH37" s="121"/>
    </row>
    <row r="38" spans="3:130" s="22" customFormat="1" ht="18" customHeight="1" thickBot="1">
      <c r="C38" s="339">
        <v>12</v>
      </c>
      <c r="D38" s="242"/>
      <c r="E38" s="242" t="s">
        <v>15</v>
      </c>
      <c r="F38" s="242"/>
      <c r="G38" s="242"/>
      <c r="H38" s="238">
        <f>H37+TEXT($U$11*($X$11/1440)+($AI$11/1440)+($AW$11/1440),"hh:mm")</f>
        <v>0.5159722222222224</v>
      </c>
      <c r="I38" s="239"/>
      <c r="J38" s="239"/>
      <c r="K38" s="240"/>
      <c r="L38" s="252" t="str">
        <f>$AC$21</f>
        <v>Runge Gymnasium Oranienburg</v>
      </c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109" t="s">
        <v>14</v>
      </c>
      <c r="AH38" s="253" t="str">
        <f>$AC$20</f>
        <v>MCG Hohen Neuendorf 2</v>
      </c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64"/>
      <c r="BC38" s="231">
        <v>2</v>
      </c>
      <c r="BD38" s="232"/>
      <c r="BE38" s="232"/>
      <c r="BF38" s="262">
        <v>1</v>
      </c>
      <c r="BG38" s="262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403" t="str">
        <f>M49</f>
        <v>MCG Hohen Neuendorf 1</v>
      </c>
      <c r="AI41" s="391"/>
      <c r="AJ41" s="392"/>
      <c r="AK41" s="390" t="str">
        <f>M50</f>
        <v>Bürgelschule Rathenow 1</v>
      </c>
      <c r="AL41" s="391"/>
      <c r="AM41" s="392"/>
      <c r="AN41" s="390" t="str">
        <f>M51</f>
        <v>Jahngymnasium</v>
      </c>
      <c r="AO41" s="391"/>
      <c r="AP41" s="392"/>
      <c r="AQ41" s="390" t="str">
        <f>M52</f>
        <v>Regine Hildebrand GS Birkenwerder II</v>
      </c>
      <c r="AR41" s="391"/>
      <c r="AS41" s="409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404"/>
      <c r="AI42" s="394"/>
      <c r="AJ42" s="395"/>
      <c r="AK42" s="393"/>
      <c r="AL42" s="394"/>
      <c r="AM42" s="395"/>
      <c r="AN42" s="393"/>
      <c r="AO42" s="394"/>
      <c r="AP42" s="395"/>
      <c r="AQ42" s="393"/>
      <c r="AR42" s="394"/>
      <c r="AS42" s="41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404"/>
      <c r="AI43" s="394"/>
      <c r="AJ43" s="395"/>
      <c r="AK43" s="393"/>
      <c r="AL43" s="394"/>
      <c r="AM43" s="395"/>
      <c r="AN43" s="393"/>
      <c r="AO43" s="394"/>
      <c r="AP43" s="395"/>
      <c r="AQ43" s="393"/>
      <c r="AR43" s="394"/>
      <c r="AS43" s="41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404"/>
      <c r="AI44" s="394"/>
      <c r="AJ44" s="395"/>
      <c r="AK44" s="393"/>
      <c r="AL44" s="394"/>
      <c r="AM44" s="395"/>
      <c r="AN44" s="393"/>
      <c r="AO44" s="394"/>
      <c r="AP44" s="395"/>
      <c r="AQ44" s="393"/>
      <c r="AR44" s="394"/>
      <c r="AS44" s="41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404"/>
      <c r="AI45" s="394"/>
      <c r="AJ45" s="395"/>
      <c r="AK45" s="393"/>
      <c r="AL45" s="394"/>
      <c r="AM45" s="395"/>
      <c r="AN45" s="393"/>
      <c r="AO45" s="394"/>
      <c r="AP45" s="395"/>
      <c r="AQ45" s="393"/>
      <c r="AR45" s="394"/>
      <c r="AS45" s="41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404"/>
      <c r="AI46" s="394"/>
      <c r="AJ46" s="395"/>
      <c r="AK46" s="393"/>
      <c r="AL46" s="394"/>
      <c r="AM46" s="395"/>
      <c r="AN46" s="393"/>
      <c r="AO46" s="394"/>
      <c r="AP46" s="395"/>
      <c r="AQ46" s="393"/>
      <c r="AR46" s="394"/>
      <c r="AS46" s="41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7" t="s">
        <v>16</v>
      </c>
      <c r="D47" s="298"/>
      <c r="E47" s="298"/>
      <c r="F47" s="298"/>
      <c r="G47" s="298"/>
      <c r="H47" s="298"/>
      <c r="I47" s="299"/>
      <c r="AH47" s="404"/>
      <c r="AI47" s="394"/>
      <c r="AJ47" s="395"/>
      <c r="AK47" s="393"/>
      <c r="AL47" s="394"/>
      <c r="AM47" s="395"/>
      <c r="AN47" s="393"/>
      <c r="AO47" s="394"/>
      <c r="AP47" s="395"/>
      <c r="AQ47" s="393"/>
      <c r="AR47" s="394"/>
      <c r="AS47" s="41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6" t="s">
        <v>17</v>
      </c>
      <c r="D48" s="287"/>
      <c r="E48" s="287"/>
      <c r="F48" s="288"/>
      <c r="G48" s="286" t="s">
        <v>18</v>
      </c>
      <c r="H48" s="287"/>
      <c r="I48" s="288"/>
      <c r="K48" s="412" t="str">
        <f>IF(' '!L9=0,D18,IF(' '!B9&lt;&gt;' '!L9,"es liegen nicht alle Ergebnisse vor",D18))</f>
        <v>Gruppe A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30"/>
      <c r="AH48" s="405"/>
      <c r="AI48" s="397"/>
      <c r="AJ48" s="398"/>
      <c r="AK48" s="396"/>
      <c r="AL48" s="397"/>
      <c r="AM48" s="398"/>
      <c r="AN48" s="396"/>
      <c r="AO48" s="397"/>
      <c r="AP48" s="398"/>
      <c r="AQ48" s="396"/>
      <c r="AR48" s="397"/>
      <c r="AS48" s="411"/>
      <c r="AT48" s="325" t="s">
        <v>19</v>
      </c>
      <c r="AU48" s="325"/>
      <c r="AV48" s="326"/>
      <c r="AW48" s="327" t="s">
        <v>20</v>
      </c>
      <c r="AX48" s="325"/>
      <c r="AY48" s="326"/>
      <c r="AZ48" s="327" t="s">
        <v>21</v>
      </c>
      <c r="BA48" s="325"/>
      <c r="BB48" s="326"/>
      <c r="BC48" s="327" t="s">
        <v>22</v>
      </c>
      <c r="BD48" s="325"/>
      <c r="BE48" s="326"/>
      <c r="BF48" s="331" t="s">
        <v>23</v>
      </c>
      <c r="BG48" s="331"/>
      <c r="BH48" s="331"/>
      <c r="BI48" s="331"/>
      <c r="BJ48" s="331"/>
      <c r="BK48" s="331" t="s">
        <v>24</v>
      </c>
      <c r="BL48" s="331"/>
      <c r="BM48" s="327"/>
      <c r="BN48" s="327" t="s">
        <v>25</v>
      </c>
      <c r="BO48" s="325"/>
      <c r="BP48" s="33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79"/>
      <c r="D49" s="279"/>
      <c r="E49" s="279"/>
      <c r="F49" s="279"/>
      <c r="G49" s="279"/>
      <c r="H49" s="279"/>
      <c r="I49" s="279"/>
      <c r="K49" s="292">
        <f>IF(' '!$L$9=0,"",1)</f>
        <v>1</v>
      </c>
      <c r="L49" s="293"/>
      <c r="M49" s="401" t="str">
        <f>IF(' '!$L$9=0,D19,VLOOKUP(' '!B5,' '!$C$5:$O$8,4,0))</f>
        <v>MCG Hohen Neuendorf 1</v>
      </c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380"/>
      <c r="AI49" s="380"/>
      <c r="AJ49" s="381"/>
      <c r="AK49" s="307" t="str">
        <f>IF(AND(M49&amp;$AK$41=VLOOKUP(M49&amp;$AK$41,' '!$D$23:$H$46,1,0),VLOOKUP(M49&amp;$AK$41,' '!$D$23:$H$46,4,0)&lt;&gt;""),VLOOKUP(M49&amp;$AK$41,' '!$D$23:$H$46,4,0),VLOOKUP(M49&amp;$AK$41,' '!$D$23:$H$46,5,0))</f>
        <v>2:1</v>
      </c>
      <c r="AL49" s="307"/>
      <c r="AM49" s="307"/>
      <c r="AN49" s="307" t="str">
        <f>IF(AND(M49&amp;$AN$41=VLOOKUP(M49&amp;$AN$41,' '!$D$23:$H$46,1,0),VLOOKUP(M49&amp;$AN$41,' '!$D$23:$H$46,4,0)&lt;&gt;""),VLOOKUP(M49&amp;$AN$41,' '!$D$23:$H$46,4,0),VLOOKUP(M49&amp;$AN$41,' '!$D$23:$H$46,5,0))</f>
        <v>2:1</v>
      </c>
      <c r="AO49" s="307"/>
      <c r="AP49" s="307"/>
      <c r="AQ49" s="332" t="str">
        <f>IF(AND(M49&amp;$AQ$41=VLOOKUP(M49&amp;$AQ$41,' '!$D$23:$H$46,1,0),VLOOKUP(M49&amp;$AQ$41,' '!$D$23:$H$46,4,0)&lt;&gt;""),VLOOKUP(M49&amp;$AQ$41,' '!$D$23:$H$46,4,0),VLOOKUP(M49&amp;$AQ$41,' '!$D$23:$H$46,5,0))</f>
        <v>3:0</v>
      </c>
      <c r="AR49" s="321"/>
      <c r="AS49" s="321"/>
      <c r="AT49" s="321">
        <f>IF(' '!$L$9=0,"",VLOOKUP(' '!B5,' '!$C$5:$O$8,10,0))</f>
        <v>3</v>
      </c>
      <c r="AU49" s="321"/>
      <c r="AV49" s="322"/>
      <c r="AW49" s="307">
        <f>IF(' '!$L$9=0,"",VLOOKUP(' '!B5,' '!$C$5:$O$8,11,0))</f>
        <v>3</v>
      </c>
      <c r="AX49" s="307"/>
      <c r="AY49" s="307"/>
      <c r="AZ49" s="307">
        <f>IF(' '!$L$9=0,"",VLOOKUP(' '!B5,' '!$C$5:$O$8,12,0))</f>
        <v>0</v>
      </c>
      <c r="BA49" s="307"/>
      <c r="BB49" s="307"/>
      <c r="BC49" s="307">
        <f>IF(' '!$L$9=0,"",VLOOKUP(' '!B5,' '!$C$5:$O$8,13,0))</f>
        <v>0</v>
      </c>
      <c r="BD49" s="307"/>
      <c r="BE49" s="307"/>
      <c r="BF49" s="308">
        <f>IF(' '!$L$9=0,"",VLOOKUP(' '!B5,' '!$C$5:$O$8,5,0))</f>
        <v>7</v>
      </c>
      <c r="BG49" s="308"/>
      <c r="BH49" s="123" t="str">
        <f>IF(' '!$L$9=0,"",":")</f>
        <v>:</v>
      </c>
      <c r="BI49" s="306">
        <f>IF(' '!$L$9=0,"",VLOOKUP(' '!B5,' '!$C$5:$O$8,6,0))</f>
        <v>2</v>
      </c>
      <c r="BJ49" s="307"/>
      <c r="BK49" s="304">
        <f>IF(' '!$L$9=0,"",BF49-BI49)</f>
        <v>5</v>
      </c>
      <c r="BL49" s="304"/>
      <c r="BM49" s="305"/>
      <c r="BN49" s="307">
        <f>IF(' '!$L$9=0,"",VLOOKUP(' '!B5,' '!$C$5:$O$8,7,0))</f>
        <v>9</v>
      </c>
      <c r="BO49" s="307"/>
      <c r="BP49" s="332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79"/>
      <c r="D50" s="279"/>
      <c r="E50" s="279"/>
      <c r="F50" s="279"/>
      <c r="G50" s="279"/>
      <c r="H50" s="279"/>
      <c r="I50" s="279"/>
      <c r="K50" s="280">
        <f>IF(' '!$L$9=0,"",IF(VLOOKUP(' '!B6,' '!$C$5:$E$8,3,0)=MAX(K$49:K49),"",' '!B6))</f>
        <v>2</v>
      </c>
      <c r="L50" s="281"/>
      <c r="M50" s="399" t="str">
        <f>IF(' '!$L$9=0,D20,VLOOKUP(' '!B6,' '!$C$5:$O$8,4,0))</f>
        <v>Bürgelschule Rathenow 1</v>
      </c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323" t="str">
        <f>IF(AND(M50&amp;$AH$41=VLOOKUP(M50&amp;$AH$41,' '!$D$23:$H$46,1,0),VLOOKUP(M50&amp;$AH$41,' '!$D$23:$H$46,4,0)&lt;&gt;""),VLOOKUP(M50&amp;$AH$41,' '!$D$23:$H$46,4,0),VLOOKUP(M50&amp;$AH$41,' '!$D$23:$H$46,5,0))</f>
        <v>1:2</v>
      </c>
      <c r="AI50" s="323"/>
      <c r="AJ50" s="324"/>
      <c r="AK50" s="341"/>
      <c r="AL50" s="341"/>
      <c r="AM50" s="341"/>
      <c r="AN50" s="310" t="str">
        <f>IF(AND(M50&amp;$AN$41=VLOOKUP(M50&amp;$AN$41,' '!$D$23:$H$46,1,0),VLOOKUP(M50&amp;$AN$41,' '!$D$23:$H$46,4,0)&lt;&gt;""),VLOOKUP(M50&amp;$AN$41,' '!$D$23:$H$46,4,0),VLOOKUP(M50&amp;$AN$41,' '!$D$23:$H$46,5,0))</f>
        <v>2:1</v>
      </c>
      <c r="AO50" s="310"/>
      <c r="AP50" s="310"/>
      <c r="AQ50" s="320" t="str">
        <f>IF(AND(M50&amp;$AQ$41=VLOOKUP(M50&amp;$AQ$41,' '!$D$23:$H$46,1,0),VLOOKUP(M50&amp;$AQ$41,' '!$D$23:$H$46,4,0)&lt;&gt;""),VLOOKUP(M50&amp;$AQ$41,' '!$D$23:$H$46,4,0),VLOOKUP(M50&amp;$AQ$41,' '!$D$23:$H$46,5,0))</f>
        <v>3:0</v>
      </c>
      <c r="AR50" s="323"/>
      <c r="AS50" s="323"/>
      <c r="AT50" s="323">
        <f>IF(' '!$L$9=0,"",VLOOKUP(' '!B6,' '!$C$5:$O$8,10,0))</f>
        <v>3</v>
      </c>
      <c r="AU50" s="323"/>
      <c r="AV50" s="324"/>
      <c r="AW50" s="310">
        <f>IF(' '!$L$9=0,"",VLOOKUP(' '!B6,' '!$C$5:$O$8,11,0))</f>
        <v>2</v>
      </c>
      <c r="AX50" s="310"/>
      <c r="AY50" s="310"/>
      <c r="AZ50" s="310">
        <f>IF(' '!$L$9=0,"",VLOOKUP(' '!B6,' '!$C$5:$O$8,12,0))</f>
        <v>0</v>
      </c>
      <c r="BA50" s="310"/>
      <c r="BB50" s="310"/>
      <c r="BC50" s="310">
        <f>IF(' '!$L$9=0,"",VLOOKUP(' '!B6,' '!$C$5:$O$8,13,0))</f>
        <v>1</v>
      </c>
      <c r="BD50" s="310"/>
      <c r="BE50" s="310"/>
      <c r="BF50" s="295">
        <f>IF(' '!$L$9=0,"",VLOOKUP(' '!B6,' '!$C$5:$O$8,5,0))</f>
        <v>6</v>
      </c>
      <c r="BG50" s="295"/>
      <c r="BH50" s="124" t="str">
        <f>IF(' '!$L$9=0,"",":")</f>
        <v>:</v>
      </c>
      <c r="BI50" s="296">
        <f>IF(' '!$L$9=0,"",VLOOKUP(' '!B6,' '!$C$5:$O$8,6,0))</f>
        <v>3</v>
      </c>
      <c r="BJ50" s="310"/>
      <c r="BK50" s="318">
        <f>IF(' '!$L$9=0,"",BF50-BI50)</f>
        <v>3</v>
      </c>
      <c r="BL50" s="318"/>
      <c r="BM50" s="319"/>
      <c r="BN50" s="310">
        <f>IF(' '!$L$9=0,"",VLOOKUP(' '!B6,' '!$C$5:$O$8,7,0))</f>
        <v>6</v>
      </c>
      <c r="BO50" s="310"/>
      <c r="BP50" s="320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79"/>
      <c r="D51" s="279"/>
      <c r="E51" s="279"/>
      <c r="F51" s="279"/>
      <c r="G51" s="279"/>
      <c r="H51" s="279"/>
      <c r="I51" s="279"/>
      <c r="K51" s="280">
        <f>IF(' '!$L$9=0,"",IF(VLOOKUP(' '!B7,' '!$C$5:$E$8,3,0)=MAX(K$49:K50),"",' '!B7))</f>
        <v>3</v>
      </c>
      <c r="L51" s="281"/>
      <c r="M51" s="399" t="str">
        <f>IF(' '!$L$9=0,D21,VLOOKUP(' '!B7,' '!$C$5:$O$8,4,0))</f>
        <v>Jahngymnasium</v>
      </c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323" t="str">
        <f>IF(AND(M51&amp;$AH$41=VLOOKUP(M51&amp;$AH$41,' '!$D$23:$H$46,1,0),VLOOKUP(M51&amp;$AH$41,' '!$D$23:$H$46,4,0)&lt;&gt;""),VLOOKUP(M51&amp;$AH$41,' '!$D$23:$H$46,4,0),VLOOKUP(M51&amp;$AH$41,' '!$D$23:$H$46,5,0))</f>
        <v>1:2</v>
      </c>
      <c r="AI51" s="323"/>
      <c r="AJ51" s="324"/>
      <c r="AK51" s="310" t="str">
        <f>IF(AND(M51&amp;$AK$41=VLOOKUP(M51&amp;$AK$41,' '!$D$23:$H$46,1,0),VLOOKUP(M51&amp;$AK$41,' '!$D$23:$H$46,4,0)&lt;&gt;""),VLOOKUP(M51&amp;$AK$41,' '!$D$23:$H$46,4,0),VLOOKUP(M51&amp;$AK$41,' '!$D$23:$H$46,5,0))</f>
        <v>1:2</v>
      </c>
      <c r="AL51" s="310"/>
      <c r="AM51" s="310"/>
      <c r="AN51" s="341"/>
      <c r="AO51" s="341"/>
      <c r="AP51" s="341"/>
      <c r="AQ51" s="320" t="str">
        <f>IF(AND(M51&amp;$AQ$41=VLOOKUP(M51&amp;$AQ$41,' '!$D$23:$H$46,1,0),VLOOKUP(M51&amp;$AQ$41,' '!$D$23:$H$46,4,0)&lt;&gt;""),VLOOKUP(M51&amp;$AQ$41,' '!$D$23:$H$46,4,0),VLOOKUP(M51&amp;$AQ$41,' '!$D$23:$H$46,5,0))</f>
        <v>2:1</v>
      </c>
      <c r="AR51" s="323"/>
      <c r="AS51" s="323"/>
      <c r="AT51" s="323">
        <f>IF(' '!$L$9=0,"",VLOOKUP(' '!B7,' '!$C$5:$O$8,10,0))</f>
        <v>3</v>
      </c>
      <c r="AU51" s="323"/>
      <c r="AV51" s="324"/>
      <c r="AW51" s="310">
        <f>IF(' '!$L$9=0,"",VLOOKUP(' '!B7,' '!$C$5:$O$8,11,0))</f>
        <v>1</v>
      </c>
      <c r="AX51" s="310"/>
      <c r="AY51" s="310"/>
      <c r="AZ51" s="310">
        <f>IF(' '!$L$9=0,"",VLOOKUP(' '!B7,' '!$C$5:$O$8,12,0))</f>
        <v>0</v>
      </c>
      <c r="BA51" s="310"/>
      <c r="BB51" s="310"/>
      <c r="BC51" s="310">
        <f>IF(' '!$L$9=0,"",VLOOKUP(' '!B7,' '!$C$5:$O$8,13,0))</f>
        <v>2</v>
      </c>
      <c r="BD51" s="310"/>
      <c r="BE51" s="310"/>
      <c r="BF51" s="295">
        <f>IF(' '!$L$9=0,"",VLOOKUP(' '!B7,' '!$C$5:$O$8,5,0))</f>
        <v>4</v>
      </c>
      <c r="BG51" s="295"/>
      <c r="BH51" s="124" t="str">
        <f>IF(' '!$L$9=0,"",":")</f>
        <v>:</v>
      </c>
      <c r="BI51" s="296">
        <f>IF(' '!$L$9=0,"",VLOOKUP(' '!B7,' '!$C$5:$O$8,6,0))</f>
        <v>5</v>
      </c>
      <c r="BJ51" s="310"/>
      <c r="BK51" s="318">
        <f>IF(' '!$L$9=0,"",BF51-BI51)</f>
        <v>-1</v>
      </c>
      <c r="BL51" s="318"/>
      <c r="BM51" s="319"/>
      <c r="BN51" s="310">
        <f>IF(' '!$L$9=0,"",VLOOKUP(' '!B7,' '!$C$5:$O$8,7,0))</f>
        <v>3</v>
      </c>
      <c r="BO51" s="310"/>
      <c r="BP51" s="320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79"/>
      <c r="D52" s="279"/>
      <c r="E52" s="279"/>
      <c r="F52" s="279"/>
      <c r="G52" s="279"/>
      <c r="H52" s="279"/>
      <c r="I52" s="279"/>
      <c r="K52" s="282">
        <f>IF(' '!$L$9=0,"",IF(VLOOKUP(' '!B8,' '!$C$5:$E$8,3,0)=MAX(K$49:K51),"",' '!B8))</f>
        <v>4</v>
      </c>
      <c r="L52" s="283"/>
      <c r="M52" s="413" t="str">
        <f>IF(' '!$L$9=0,D22,VLOOKUP(' '!B8,' '!$C$5:$O$8,4,0))</f>
        <v>Regine Hildebrand GS Birkenwerder II</v>
      </c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333" t="str">
        <f>IF(AND(M52&amp;$AH$41=VLOOKUP(M52&amp;$AH$41,' '!$D$23:$H$46,1,0),VLOOKUP(M52&amp;$AH$41,' '!$D$23:$H$46,4,0)&lt;&gt;""),VLOOKUP(M52&amp;$AH$41,' '!$D$23:$H$46,4,0),VLOOKUP(M52&amp;$AH$41,' '!$D$23:$H$46,5,0))</f>
        <v>0:3</v>
      </c>
      <c r="AI52" s="333"/>
      <c r="AJ52" s="334"/>
      <c r="AK52" s="313" t="str">
        <f>IF(AND(M52&amp;$AK$41=VLOOKUP(M52&amp;$AK$41,' '!$D$23:$H$46,1,0),VLOOKUP(M52&amp;$AK$41,' '!$D$23:$H$46,4,0)&lt;&gt;""),VLOOKUP(M52&amp;$AK$41,' '!$D$23:$H$46,4,0),VLOOKUP(M52&amp;$AK$41,' '!$D$23:$H$46,5,0))</f>
        <v>0:3</v>
      </c>
      <c r="AL52" s="313"/>
      <c r="AM52" s="313"/>
      <c r="AN52" s="313" t="str">
        <f>IF(AND(M52&amp;$AN$41=VLOOKUP(M52&amp;$AN$41,' '!$D$23:$H$46,1,0),VLOOKUP(M52&amp;$AN$41,' '!$D$23:$H$46,4,0)&lt;&gt;""),VLOOKUP(M52&amp;$AN$41,' '!$D$23:$H$46,4,0),VLOOKUP(M52&amp;$AN$41,' '!$D$23:$H$46,5,0))</f>
        <v>1:2</v>
      </c>
      <c r="AO52" s="313"/>
      <c r="AP52" s="313"/>
      <c r="AQ52" s="388"/>
      <c r="AR52" s="389"/>
      <c r="AS52" s="389"/>
      <c r="AT52" s="333">
        <f>IF(' '!$L$9=0,"",VLOOKUP(' '!B8,' '!$C$5:$O$8,10,0))</f>
        <v>3</v>
      </c>
      <c r="AU52" s="333"/>
      <c r="AV52" s="334"/>
      <c r="AW52" s="313">
        <f>IF(' '!$L$9=0,"",VLOOKUP(' '!B8,' '!$C$5:$O$8,11,0))</f>
        <v>0</v>
      </c>
      <c r="AX52" s="313"/>
      <c r="AY52" s="313"/>
      <c r="AZ52" s="313">
        <f>IF(' '!$L$9=0,"",VLOOKUP(' '!B8,' '!$C$5:$O$8,12,0))</f>
        <v>0</v>
      </c>
      <c r="BA52" s="313"/>
      <c r="BB52" s="313"/>
      <c r="BC52" s="313">
        <f>IF(' '!$L$9=0,"",VLOOKUP(' '!B8,' '!$C$5:$O$8,13,0))</f>
        <v>3</v>
      </c>
      <c r="BD52" s="313"/>
      <c r="BE52" s="313"/>
      <c r="BF52" s="301">
        <f>IF(' '!$L$9=0,"",VLOOKUP(' '!B8,' '!$C$5:$O$8,5,0))</f>
        <v>1</v>
      </c>
      <c r="BG52" s="301"/>
      <c r="BH52" s="125" t="str">
        <f>IF(' '!$L$9=0,"",":")</f>
        <v>:</v>
      </c>
      <c r="BI52" s="302">
        <f>IF(' '!$L$9=0,"",VLOOKUP(' '!B8,' '!$C$5:$O$8,6,0))</f>
        <v>8</v>
      </c>
      <c r="BJ52" s="313"/>
      <c r="BK52" s="316">
        <f>IF(' '!$L$9=0,"",BF52-BI52)</f>
        <v>-7</v>
      </c>
      <c r="BL52" s="316"/>
      <c r="BM52" s="317"/>
      <c r="BN52" s="313">
        <f>IF(' '!$L$9=0,"",VLOOKUP(' '!B8,' '!$C$5:$O$8,7,0))</f>
        <v>0</v>
      </c>
      <c r="BO52" s="313"/>
      <c r="BP52" s="31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382" t="str">
        <f>M62</f>
        <v>Regine Hildebrand Birkenwerder I</v>
      </c>
      <c r="AI54" s="383"/>
      <c r="AJ54" s="383"/>
      <c r="AK54" s="383" t="str">
        <f>M63</f>
        <v>Runge Gymnasium Oranienburg</v>
      </c>
      <c r="AL54" s="383"/>
      <c r="AM54" s="383"/>
      <c r="AN54" s="383" t="str">
        <f>M64</f>
        <v>MCG Hohen Neuendorf 2</v>
      </c>
      <c r="AO54" s="383"/>
      <c r="AP54" s="383"/>
      <c r="AQ54" s="383" t="str">
        <f>M65</f>
        <v>Bürgelschule Rathenow 2</v>
      </c>
      <c r="AR54" s="383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384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384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384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384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384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7" t="s">
        <v>16</v>
      </c>
      <c r="D60" s="298"/>
      <c r="E60" s="298"/>
      <c r="F60" s="298"/>
      <c r="G60" s="298"/>
      <c r="H60" s="298"/>
      <c r="I60" s="29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384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6" t="s">
        <v>17</v>
      </c>
      <c r="D61" s="287"/>
      <c r="E61" s="287"/>
      <c r="F61" s="288"/>
      <c r="G61" s="286" t="s">
        <v>18</v>
      </c>
      <c r="H61" s="287"/>
      <c r="I61" s="288"/>
      <c r="K61" s="289" t="str">
        <f>IF(' '!L18=0,AC18,IF(' '!B18&lt;&gt;' '!L18,"es liegen nicht alle Ergebnisse vor",AC18))</f>
        <v>Gruppe B</v>
      </c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1"/>
      <c r="AH61" s="386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408"/>
      <c r="AT61" s="335" t="s">
        <v>19</v>
      </c>
      <c r="AU61" s="311"/>
      <c r="AV61" s="311"/>
      <c r="AW61" s="311" t="s">
        <v>20</v>
      </c>
      <c r="AX61" s="311"/>
      <c r="AY61" s="311"/>
      <c r="AZ61" s="311" t="s">
        <v>21</v>
      </c>
      <c r="BA61" s="311"/>
      <c r="BB61" s="311"/>
      <c r="BC61" s="311" t="s">
        <v>22</v>
      </c>
      <c r="BD61" s="311"/>
      <c r="BE61" s="311"/>
      <c r="BF61" s="311" t="s">
        <v>23</v>
      </c>
      <c r="BG61" s="311"/>
      <c r="BH61" s="311"/>
      <c r="BI61" s="311"/>
      <c r="BJ61" s="311"/>
      <c r="BK61" s="311" t="s">
        <v>24</v>
      </c>
      <c r="BL61" s="311"/>
      <c r="BM61" s="312"/>
      <c r="BN61" s="311" t="s">
        <v>25</v>
      </c>
      <c r="BO61" s="311"/>
      <c r="BP61" s="31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79"/>
      <c r="D62" s="279"/>
      <c r="E62" s="279"/>
      <c r="F62" s="279"/>
      <c r="G62" s="279"/>
      <c r="H62" s="279"/>
      <c r="I62" s="279"/>
      <c r="K62" s="292">
        <f>IF(' '!$L$18=0,"",1)</f>
        <v>1</v>
      </c>
      <c r="L62" s="293"/>
      <c r="M62" s="401" t="str">
        <f>IF(' '!$L$18=0,AC19,VLOOKUP(' '!B14,' '!$C$14:$O$17,4,0))</f>
        <v>Regine Hildebrand Birkenwerder I</v>
      </c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380"/>
      <c r="AI62" s="380"/>
      <c r="AJ62" s="381"/>
      <c r="AK62" s="307" t="str">
        <f>IF(AND(M62&amp;$AK$54=VLOOKUP(M62&amp;$AK$54,' '!$D$23:$H$46,1,0),VLOOKUP(M62&amp;$AK$54,' '!$D$23:$H$46,4,0)&lt;&gt;""),VLOOKUP(M62&amp;$AK$54,' '!$D$23:$H$46,4,0),VLOOKUP(M62&amp;$AK$54,' '!$D$23:$H$46,5,0))</f>
        <v>3:0</v>
      </c>
      <c r="AL62" s="307"/>
      <c r="AM62" s="307"/>
      <c r="AN62" s="307" t="str">
        <f>IF(AND(M62&amp;$AN$54=VLOOKUP(M62&amp;$AN$54,' '!$D$23:$H$46,1,0),VLOOKUP(M62&amp;$AN$54,' '!$D$23:$H$46,4,0)&lt;&gt;""),VLOOKUP(M62&amp;$AN$54,' '!$D$23:$H$46,4,0),VLOOKUP(M62&amp;$AN$54,' '!$D$23:$H$46,5,0))</f>
        <v>2:1</v>
      </c>
      <c r="AO62" s="307"/>
      <c r="AP62" s="307"/>
      <c r="AQ62" s="332" t="str">
        <f>IF(AND(M62&amp;$AQ$54=VLOOKUP(M62&amp;$AQ$54,' '!$D$23:$H$46,1,0),VLOOKUP(M62&amp;$AQ$54,' '!$D$23:$H$46,4,0)&lt;&gt;""),VLOOKUP(M62&amp;$AQ$54,' '!$D$23:$H$46,4,0),VLOOKUP(M62&amp;$AQ$54,' '!$D$23:$H$46,5,0))</f>
        <v>1:2</v>
      </c>
      <c r="AR62" s="321"/>
      <c r="AS62" s="321"/>
      <c r="AT62" s="321">
        <f>IF(' '!$L$18=0,"",VLOOKUP(' '!B14,' '!$C$14:$O$17,10,0))</f>
        <v>3</v>
      </c>
      <c r="AU62" s="321"/>
      <c r="AV62" s="322"/>
      <c r="AW62" s="328">
        <f>IF(' '!$L$18=0,"",VLOOKUP(' '!B14,' '!$C$14:$O$17,11,0))</f>
        <v>2</v>
      </c>
      <c r="AX62" s="308"/>
      <c r="AY62" s="306"/>
      <c r="AZ62" s="328">
        <f>IF(' '!$L$18=0,"",VLOOKUP(' '!B14,' '!$C$14:$O$17,12,0))</f>
        <v>0</v>
      </c>
      <c r="BA62" s="308"/>
      <c r="BB62" s="306"/>
      <c r="BC62" s="328">
        <f>IF(' '!$L$18=0,"",VLOOKUP(' '!B14,' '!$C$14:$O$17,13,0))</f>
        <v>1</v>
      </c>
      <c r="BD62" s="308"/>
      <c r="BE62" s="306"/>
      <c r="BF62" s="308">
        <f>IF(' '!$L$18=0,"",VLOOKUP(' '!B14,' '!$C$14:$O$17,5,0))</f>
        <v>6</v>
      </c>
      <c r="BG62" s="308"/>
      <c r="BH62" s="123" t="str">
        <f>IF(' '!$L$18=0,"",":")</f>
        <v>:</v>
      </c>
      <c r="BI62" s="306">
        <f>IF(' '!$L$18=0,"",VLOOKUP(' '!B14,' '!$C$14:$O$17,6,0))</f>
        <v>3</v>
      </c>
      <c r="BJ62" s="307"/>
      <c r="BK62" s="304">
        <f>IF(' '!$L$18=0,"",BF62-BI62)</f>
        <v>3</v>
      </c>
      <c r="BL62" s="304"/>
      <c r="BM62" s="305"/>
      <c r="BN62" s="328">
        <f>IF(' '!$L$18=0,"",VLOOKUP(' '!B14,' '!$C$14:$O$17,7,0))</f>
        <v>6</v>
      </c>
      <c r="BO62" s="308"/>
      <c r="BP62" s="329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79"/>
      <c r="D63" s="279"/>
      <c r="E63" s="279"/>
      <c r="F63" s="279"/>
      <c r="G63" s="279"/>
      <c r="H63" s="279"/>
      <c r="I63" s="279"/>
      <c r="J63" s="21"/>
      <c r="K63" s="280">
        <f>IF(' '!$L$18=0,"",IF(VLOOKUP(' '!B15,' '!$C$14:$E$17,3,0)=MAX(K$62:K62),"",' '!B15))</f>
        <v>2</v>
      </c>
      <c r="L63" s="281"/>
      <c r="M63" s="399" t="str">
        <f>IF(' '!$L$18=0,AC20,VLOOKUP(' '!B15,' '!$C$14:$O$17,4,0))</f>
        <v>Runge Gymnasium Oranienburg</v>
      </c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23" t="str">
        <f>IF(AND(M63&amp;$AH$54=VLOOKUP(M63&amp;$AH$54,' '!$D$23:$H$46,1,0),VLOOKUP(M63&amp;$AH$54,' '!$D$23:$H$46,4,0)&lt;&gt;""),VLOOKUP(M63&amp;$AH$54,' '!$D$23:$H$46,4,0),VLOOKUP(M63&amp;$AH$54,' '!$D$23:$H$46,5,0))</f>
        <v>0:3</v>
      </c>
      <c r="AI63" s="323"/>
      <c r="AJ63" s="324"/>
      <c r="AK63" s="341"/>
      <c r="AL63" s="341"/>
      <c r="AM63" s="341"/>
      <c r="AN63" s="310" t="str">
        <f>IF(AND(M63&amp;$AN$54=VLOOKUP(M63&amp;$AN$54,' '!$D$23:$H$46,1,0),VLOOKUP(M63&amp;$AN$54,' '!$D$23:$H$46,4,0)&lt;&gt;""),VLOOKUP(M63&amp;$AN$54,' '!$D$23:$H$46,4,0),VLOOKUP(M63&amp;$AN$54,' '!$D$23:$H$46,5,0))</f>
        <v>2:1</v>
      </c>
      <c r="AO63" s="310"/>
      <c r="AP63" s="310"/>
      <c r="AQ63" s="320" t="str">
        <f>IF(AND(M63&amp;$AQ$54=VLOOKUP(M63&amp;$AQ$54,' '!$D$23:$H$46,1,0),VLOOKUP(M63&amp;$AQ$54,' '!$D$23:$H$46,4,0)&lt;&gt;""),VLOOKUP(M63&amp;$AQ$54,' '!$D$23:$H$46,4,0),VLOOKUP(M63&amp;$AQ$54,' '!$D$23:$H$46,5,0))</f>
        <v>2:1</v>
      </c>
      <c r="AR63" s="323"/>
      <c r="AS63" s="323"/>
      <c r="AT63" s="323">
        <f>IF(' '!$L$18=0,"",VLOOKUP(' '!B15,' '!$C$14:$O$17,10,0))</f>
        <v>3</v>
      </c>
      <c r="AU63" s="323"/>
      <c r="AV63" s="324"/>
      <c r="AW63" s="294">
        <f>IF(' '!$L$18=0,"",VLOOKUP(' '!B15,' '!$C$14:$O$17,11,0))</f>
        <v>2</v>
      </c>
      <c r="AX63" s="295"/>
      <c r="AY63" s="296"/>
      <c r="AZ63" s="294">
        <f>IF(' '!$L$18=0,"",VLOOKUP(' '!B15,' '!$C$14:$O$17,12,0))</f>
        <v>0</v>
      </c>
      <c r="BA63" s="295"/>
      <c r="BB63" s="296"/>
      <c r="BC63" s="294">
        <f>IF(' '!$L$18=0,"",VLOOKUP(' '!B15,' '!$C$14:$O$17,13,0))</f>
        <v>1</v>
      </c>
      <c r="BD63" s="295"/>
      <c r="BE63" s="296"/>
      <c r="BF63" s="295">
        <f>IF(' '!$L$18=0,"",VLOOKUP(' '!B15,' '!$C$14:$O$17,5,0))</f>
        <v>4</v>
      </c>
      <c r="BG63" s="295"/>
      <c r="BH63" s="124" t="str">
        <f>IF(' '!$L$18=0,"",":")</f>
        <v>:</v>
      </c>
      <c r="BI63" s="296">
        <f>IF(' '!$L$18=0,"",VLOOKUP(' '!B15,' '!$C$14:$O$17,6,0))</f>
        <v>5</v>
      </c>
      <c r="BJ63" s="310"/>
      <c r="BK63" s="318">
        <f>IF(' '!$L$18=0,"",BF63-BI63)</f>
        <v>-1</v>
      </c>
      <c r="BL63" s="318"/>
      <c r="BM63" s="319"/>
      <c r="BN63" s="294">
        <f>IF(' '!$L$18=0,"",VLOOKUP(' '!B15,' '!$C$14:$O$17,7,0))</f>
        <v>6</v>
      </c>
      <c r="BO63" s="295"/>
      <c r="BP63" s="309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79"/>
      <c r="D64" s="279"/>
      <c r="E64" s="279"/>
      <c r="F64" s="279"/>
      <c r="G64" s="279"/>
      <c r="H64" s="279"/>
      <c r="I64" s="279"/>
      <c r="K64" s="280">
        <f>IF(' '!$L$18=0,"",IF(VLOOKUP(' '!B16,' '!$C$14:$E$17,3,0)=MAX(K$62:K63),"",' '!B16))</f>
        <v>3</v>
      </c>
      <c r="L64" s="281"/>
      <c r="M64" s="399" t="str">
        <f>IF(' '!$L$18=0,AC21,VLOOKUP(' '!B16,' '!$C$14:$O$17,4,0))</f>
        <v>MCG Hohen Neuendorf 2</v>
      </c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323" t="str">
        <f>IF(AND(M64&amp;$AH$54=VLOOKUP(M64&amp;$AH$54,' '!$D$23:$H$46,1,0),VLOOKUP(M64&amp;$AH$54,' '!$D$23:$H$46,4,0)&lt;&gt;""),VLOOKUP(M64&amp;$AH$54,' '!$D$23:$H$46,4,0),VLOOKUP(M64&amp;$AH$54,' '!$D$23:$H$46,5,0))</f>
        <v>1:2</v>
      </c>
      <c r="AI64" s="323"/>
      <c r="AJ64" s="324"/>
      <c r="AK64" s="310" t="str">
        <f>IF(AND(M64&amp;$AK$54=VLOOKUP(M64&amp;$AK$54,' '!$D$23:$H$46,1,0),VLOOKUP(M64&amp;$AK$54,' '!$D$23:$H$46,4,0)&lt;&gt;""),VLOOKUP(M64&amp;$AK$54,' '!$D$23:$H$46,4,0),VLOOKUP(M64&amp;$AK$54,' '!$D$23:$H$46,5,0))</f>
        <v>1:2</v>
      </c>
      <c r="AL64" s="310"/>
      <c r="AM64" s="310"/>
      <c r="AN64" s="341"/>
      <c r="AO64" s="341"/>
      <c r="AP64" s="341"/>
      <c r="AQ64" s="320" t="str">
        <f>IF(AND(M64&amp;$AQ$54=VLOOKUP(M64&amp;$AQ$54,' '!$D$23:$H$46,1,0),VLOOKUP(M64&amp;$AQ$54,' '!$D$23:$H$46,4,0)&lt;&gt;""),VLOOKUP(M64&amp;$AQ$54,' '!$D$23:$H$46,4,0),VLOOKUP(M64&amp;$AQ$54,' '!$D$23:$H$46,5,0))</f>
        <v>3:0</v>
      </c>
      <c r="AR64" s="323"/>
      <c r="AS64" s="323"/>
      <c r="AT64" s="323">
        <f>IF(' '!$L$18=0,"",VLOOKUP(' '!B16,' '!$C$14:$O$17,10,0))</f>
        <v>3</v>
      </c>
      <c r="AU64" s="323"/>
      <c r="AV64" s="324"/>
      <c r="AW64" s="294">
        <f>IF(' '!$L$18=0,"",VLOOKUP(' '!B16,' '!$C$14:$O$17,11,0))</f>
        <v>1</v>
      </c>
      <c r="AX64" s="295"/>
      <c r="AY64" s="296"/>
      <c r="AZ64" s="294">
        <f>IF(' '!$L$18=0,"",VLOOKUP(' '!B16,' '!$C$14:$O$17,12,0))</f>
        <v>0</v>
      </c>
      <c r="BA64" s="295"/>
      <c r="BB64" s="296"/>
      <c r="BC64" s="294">
        <f>IF(' '!$L$18=0,"",VLOOKUP(' '!B16,' '!$C$14:$O$17,13,0))</f>
        <v>2</v>
      </c>
      <c r="BD64" s="295"/>
      <c r="BE64" s="296"/>
      <c r="BF64" s="295">
        <f>IF(' '!$L$18=0,"",VLOOKUP(' '!B16,' '!$C$14:$O$17,5,0))</f>
        <v>5</v>
      </c>
      <c r="BG64" s="295"/>
      <c r="BH64" s="124" t="str">
        <f>IF(' '!$L$18=0,"",":")</f>
        <v>:</v>
      </c>
      <c r="BI64" s="296">
        <f>IF(' '!$L$18=0,"",VLOOKUP(' '!B16,' '!$C$14:$O$17,6,0))</f>
        <v>4</v>
      </c>
      <c r="BJ64" s="310"/>
      <c r="BK64" s="318">
        <f>IF(' '!$L$18=0,"",BF64-BI64)</f>
        <v>1</v>
      </c>
      <c r="BL64" s="318"/>
      <c r="BM64" s="319"/>
      <c r="BN64" s="294">
        <f>IF(' '!$L$18=0,"",VLOOKUP(' '!B16,' '!$C$14:$O$17,7,0))</f>
        <v>3</v>
      </c>
      <c r="BO64" s="295"/>
      <c r="BP64" s="309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79"/>
      <c r="D65" s="279"/>
      <c r="E65" s="279"/>
      <c r="F65" s="279"/>
      <c r="G65" s="279"/>
      <c r="H65" s="279"/>
      <c r="I65" s="279"/>
      <c r="K65" s="282">
        <f>IF(' '!$L$18=0,"",IF(VLOOKUP(' '!B17,' '!$C$14:$E$17,3,0)=MAX(K$62:K64),"",' '!B17))</f>
        <v>4</v>
      </c>
      <c r="L65" s="283"/>
      <c r="M65" s="413" t="str">
        <f>IF(' '!$L$18=0,AC22,VLOOKUP(' '!B17,' '!$C$14:$O$17,4,0))</f>
        <v>Bürgelschule Rathenow 2</v>
      </c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333" t="str">
        <f>IF(AND(M65&amp;$AH$54=VLOOKUP(M65&amp;$AH$54,' '!$D$23:$H$46,1,0),VLOOKUP(M65&amp;$AH$54,' '!$D$23:$H$46,4,0)&lt;&gt;""),VLOOKUP(M65&amp;$AH$54,' '!$D$23:$H$46,4,0),VLOOKUP(M65&amp;$AH$54,' '!$D$23:$H$46,5,0))</f>
        <v>2:1</v>
      </c>
      <c r="AI65" s="333"/>
      <c r="AJ65" s="334"/>
      <c r="AK65" s="313" t="str">
        <f>IF(AND(M65&amp;$AK$54=VLOOKUP(M65&amp;$AK$54,' '!$D$23:$H$46,1,0),VLOOKUP(M65&amp;$AK$54,' '!$D$23:$H$46,4,0)&lt;&gt;""),VLOOKUP(M65&amp;$AK$54,' '!$D$23:$H$46,4,0),VLOOKUP(M65&amp;$AK$54,' '!$D$23:$H$46,5,0))</f>
        <v>1:2</v>
      </c>
      <c r="AL65" s="313"/>
      <c r="AM65" s="313"/>
      <c r="AN65" s="313" t="str">
        <f>IF(AND(M65&amp;$AN$54=VLOOKUP(M65&amp;$AN$54,' '!$D$23:$H$46,1,0),VLOOKUP(M65&amp;$AN$54,' '!$D$23:$H$46,4,0)&lt;&gt;""),VLOOKUP(M65&amp;$AN$54,' '!$D$23:$H$46,4,0),VLOOKUP(M65&amp;$AN$54,' '!$D$23:$H$46,5,0))</f>
        <v>0:3</v>
      </c>
      <c r="AO65" s="313"/>
      <c r="AP65" s="313"/>
      <c r="AQ65" s="388"/>
      <c r="AR65" s="389"/>
      <c r="AS65" s="389"/>
      <c r="AT65" s="333">
        <f>IF(' '!$L$18=0,"",VLOOKUP(' '!B17,' '!$C$14:$O$17,10,0))</f>
        <v>3</v>
      </c>
      <c r="AU65" s="333"/>
      <c r="AV65" s="334"/>
      <c r="AW65" s="300">
        <f>IF(' '!$L$18=0,"",VLOOKUP(' '!B17,' '!$C$14:$O$17,11,0))</f>
        <v>1</v>
      </c>
      <c r="AX65" s="301"/>
      <c r="AY65" s="302"/>
      <c r="AZ65" s="300">
        <f>IF(' '!$L$18=0,"",VLOOKUP(' '!B17,' '!$C$14:$O$17,12,0))</f>
        <v>0</v>
      </c>
      <c r="BA65" s="301"/>
      <c r="BB65" s="302"/>
      <c r="BC65" s="300">
        <f>IF(' '!$L$18=0,"",VLOOKUP(' '!B17,' '!$C$14:$O$17,13,0))</f>
        <v>2</v>
      </c>
      <c r="BD65" s="301"/>
      <c r="BE65" s="302"/>
      <c r="BF65" s="346">
        <f>IF(' '!$L$18=0,"",VLOOKUP(' '!B17,' '!$C$14:$O$17,5,0))</f>
        <v>3</v>
      </c>
      <c r="BG65" s="346"/>
      <c r="BH65" s="137" t="str">
        <f>IF(' '!$L$18=0,"",":")</f>
        <v>:</v>
      </c>
      <c r="BI65" s="344">
        <f>IF(' '!$L$18=0,"",VLOOKUP(' '!B17,' '!$C$14:$O$17,6,0))</f>
        <v>6</v>
      </c>
      <c r="BJ65" s="345"/>
      <c r="BK65" s="342">
        <f>IF(' '!$L$18=0,"",BF65-BI65)</f>
        <v>-3</v>
      </c>
      <c r="BL65" s="342"/>
      <c r="BM65" s="343"/>
      <c r="BN65" s="300">
        <f>IF(' '!$L$18=0,"",VLOOKUP(' '!B17,' '!$C$14:$O$17,7,0))</f>
        <v>3</v>
      </c>
      <c r="BO65" s="301"/>
      <c r="BP65" s="303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3.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3.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3.5">
      <c r="B70" s="348" t="s">
        <v>62</v>
      </c>
      <c r="C70" s="348"/>
      <c r="D70" s="348"/>
      <c r="E70" s="348"/>
      <c r="F70" s="348"/>
      <c r="G70" s="348"/>
      <c r="H70" s="347">
        <f>H38+TEXT(2*$U$11*($X$11/1440)+($AI$11/1440)+($AW$11/1440),"hh:mm")</f>
        <v>0.5319444444444447</v>
      </c>
      <c r="I70" s="347"/>
      <c r="J70" s="347"/>
      <c r="K70" s="347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6">
        <f>U14</f>
        <v>1</v>
      </c>
      <c r="V70" s="356"/>
      <c r="W70" s="134" t="s">
        <v>2</v>
      </c>
      <c r="X70" s="249">
        <f>X11</f>
        <v>10</v>
      </c>
      <c r="Y70" s="249"/>
      <c r="Z70" s="249"/>
      <c r="AA70" s="249"/>
      <c r="AB70" s="249"/>
      <c r="AC70" s="250">
        <f>AC14</f>
      </c>
      <c r="AD70" s="250"/>
      <c r="AE70" s="250"/>
      <c r="AF70" s="250"/>
      <c r="AG70" s="250"/>
      <c r="AH70" s="250"/>
      <c r="AI70" s="251">
        <f>IF(AI14="","",AI14)</f>
        <v>0</v>
      </c>
      <c r="AJ70" s="251"/>
      <c r="AK70" s="251"/>
      <c r="AL70" s="251"/>
      <c r="AM70" s="251"/>
      <c r="AN70" s="348" t="s">
        <v>3</v>
      </c>
      <c r="AO70" s="348"/>
      <c r="AP70" s="348"/>
      <c r="AQ70" s="348"/>
      <c r="AR70" s="348"/>
      <c r="AS70" s="348"/>
      <c r="AT70" s="348"/>
      <c r="AU70" s="348"/>
      <c r="AV70" s="348"/>
      <c r="AW70" s="349">
        <f>AW14</f>
        <v>3</v>
      </c>
      <c r="AX70" s="349"/>
      <c r="AY70" s="349"/>
      <c r="AZ70" s="349"/>
      <c r="BA70" s="349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" thickBot="1">
      <c r="B72" s="22"/>
      <c r="C72" s="357" t="s">
        <v>9</v>
      </c>
      <c r="D72" s="237"/>
      <c r="E72" s="237" t="s">
        <v>63</v>
      </c>
      <c r="F72" s="237"/>
      <c r="G72" s="237"/>
      <c r="H72" s="237"/>
      <c r="I72" s="270" t="s">
        <v>27</v>
      </c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2"/>
      <c r="AZ72" s="237" t="s">
        <v>12</v>
      </c>
      <c r="BA72" s="237"/>
      <c r="BB72" s="237"/>
      <c r="BC72" s="237"/>
      <c r="BD72" s="270"/>
      <c r="BE72" s="336"/>
      <c r="BF72" s="271"/>
      <c r="BG72" s="271"/>
      <c r="BH72" s="337"/>
    </row>
    <row r="73" spans="2:60" ht="18" customHeight="1">
      <c r="B73" s="22"/>
      <c r="C73" s="219">
        <v>13</v>
      </c>
      <c r="D73" s="220"/>
      <c r="E73" s="223">
        <f>$H$14</f>
        <v>0.5319444444444447</v>
      </c>
      <c r="F73" s="223"/>
      <c r="G73" s="223"/>
      <c r="H73" s="223"/>
      <c r="I73" s="254" t="str">
        <f>IF(OR(' '!L9=0,' '!B9&lt;&gt;SUM(AT49:AV52)),"",IF(OR(G49=1,G50=1,G51=1,G52=1),VLOOKUP(SMALL($G$49:$I$52,1),$G$49:$AG$52,7,0),IF(AND(SUM(AT49:AV52)=' '!B9,' '!E9=1),M49,"1. Platz Gruppe A nicht eindeutig")))</f>
        <v>MCG Hohen Neuendorf 1</v>
      </c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136" t="s">
        <v>14</v>
      </c>
      <c r="AE73" s="255" t="str">
        <f>IF(OR(' '!L18=0,' '!B18&lt;&gt;SUM(AT62:AV65)),"",IF(OR(G62=2,G63=2,G64=2,G65=2),VLOOKUP(SMALL($G$62:$I$65,2),$G$62:$AG$65,7,0),IF(AND(SUM(AT62:AV65)=' '!B18,' '!E19=1),M63,"2. Platz Gruppe B nicht eindeutig")))</f>
        <v>Runge Gymnasium Oranienburg</v>
      </c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84"/>
      <c r="AZ73" s="266">
        <v>2</v>
      </c>
      <c r="BA73" s="266"/>
      <c r="BB73" s="267"/>
      <c r="BC73" s="241">
        <v>1</v>
      </c>
      <c r="BD73" s="241"/>
      <c r="BE73" s="204"/>
      <c r="BF73" s="205"/>
      <c r="BG73" s="205"/>
      <c r="BH73" s="206"/>
    </row>
    <row r="74" spans="2:60" ht="15" thickBot="1">
      <c r="B74" s="22"/>
      <c r="C74" s="221"/>
      <c r="D74" s="222"/>
      <c r="E74" s="224"/>
      <c r="F74" s="224"/>
      <c r="G74" s="224"/>
      <c r="H74" s="224"/>
      <c r="I74" s="227" t="s">
        <v>28</v>
      </c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138"/>
      <c r="AE74" s="228" t="s">
        <v>29</v>
      </c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68"/>
      <c r="AZ74" s="235"/>
      <c r="BA74" s="235"/>
      <c r="BB74" s="235"/>
      <c r="BC74" s="235"/>
      <c r="BD74" s="236"/>
      <c r="BE74" s="273"/>
      <c r="BF74" s="274"/>
      <c r="BG74" s="274"/>
      <c r="BH74" s="275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" thickBot="1">
      <c r="B76" s="22"/>
      <c r="C76" s="357" t="s">
        <v>9</v>
      </c>
      <c r="D76" s="237"/>
      <c r="E76" s="237" t="s">
        <v>63</v>
      </c>
      <c r="F76" s="237"/>
      <c r="G76" s="237"/>
      <c r="H76" s="237"/>
      <c r="I76" s="270" t="s">
        <v>30</v>
      </c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2"/>
      <c r="AZ76" s="237" t="s">
        <v>12</v>
      </c>
      <c r="BA76" s="237"/>
      <c r="BB76" s="237"/>
      <c r="BC76" s="237"/>
      <c r="BD76" s="270"/>
      <c r="BE76" s="336"/>
      <c r="BF76" s="271"/>
      <c r="BG76" s="271"/>
      <c r="BH76" s="337"/>
    </row>
    <row r="77" spans="2:60" ht="18" customHeight="1">
      <c r="B77" s="22"/>
      <c r="C77" s="219">
        <v>14</v>
      </c>
      <c r="D77" s="220"/>
      <c r="E77" s="223">
        <f>E73+TEXT($U$14*($X$14/1440)+($AI$14/1440)+($AW$14/1440),"hh:mm")</f>
        <v>0.5409722222222224</v>
      </c>
      <c r="F77" s="223"/>
      <c r="G77" s="223"/>
      <c r="H77" s="223"/>
      <c r="I77" s="254" t="str">
        <f>IF(OR(' '!L18=0,' '!B18&lt;&gt;SUM(AT62:AV65)),"",IF(OR(G62=1,G63=1,G64=1,G65=1),VLOOKUP(SMALL($G$62:$I$65,1),$G$62:$AG$65,7,0),IF(AND(SUM(AT62:AV65)=' '!B18,' '!E18=1),M62,"1. Platz Gruppe B nicht eindeutig")))</f>
        <v>Regine Hildebrand Birkenwerder I</v>
      </c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136" t="s">
        <v>14</v>
      </c>
      <c r="AE77" s="255" t="str">
        <f>IF(OR(' '!L9=0,' '!B9&lt;&gt;SUM(AT49:AV52)),"",IF(OR(G49=2,G50=2,G51=2,G52=2),VLOOKUP(SMALL($G$49:$I$52,2),$G$49:$AG$52,7,0),IF(AND(SUM(AT49:AV52)=' '!B9,' '!E10=1),M50,"2. Platz Gruppe A nicht eindeutig")))</f>
        <v>Bürgelschule Rathenow 1</v>
      </c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84"/>
      <c r="AZ77" s="266">
        <v>1</v>
      </c>
      <c r="BA77" s="266"/>
      <c r="BB77" s="267"/>
      <c r="BC77" s="241">
        <v>2</v>
      </c>
      <c r="BD77" s="241"/>
      <c r="BE77" s="204"/>
      <c r="BF77" s="205"/>
      <c r="BG77" s="205"/>
      <c r="BH77" s="206"/>
    </row>
    <row r="78" spans="2:60" ht="15" thickBot="1">
      <c r="B78" s="22"/>
      <c r="C78" s="221"/>
      <c r="D78" s="222"/>
      <c r="E78" s="224"/>
      <c r="F78" s="224"/>
      <c r="G78" s="224"/>
      <c r="H78" s="224"/>
      <c r="I78" s="227" t="s">
        <v>31</v>
      </c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138"/>
      <c r="AE78" s="228" t="s">
        <v>32</v>
      </c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68"/>
      <c r="AZ78" s="235"/>
      <c r="BA78" s="235"/>
      <c r="BB78" s="235"/>
      <c r="BC78" s="235"/>
      <c r="BD78" s="236"/>
      <c r="BE78" s="273"/>
      <c r="BF78" s="274"/>
      <c r="BG78" s="274"/>
      <c r="BH78" s="275"/>
    </row>
    <row r="79" spans="2:60" ht="1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" thickBot="1">
      <c r="B80" s="22"/>
      <c r="C80" s="360" t="s">
        <v>9</v>
      </c>
      <c r="D80" s="229"/>
      <c r="E80" s="229" t="s">
        <v>63</v>
      </c>
      <c r="F80" s="229"/>
      <c r="G80" s="229"/>
      <c r="H80" s="229"/>
      <c r="I80" s="230" t="s">
        <v>33</v>
      </c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69"/>
      <c r="AZ80" s="229" t="s">
        <v>12</v>
      </c>
      <c r="BA80" s="229"/>
      <c r="BB80" s="229"/>
      <c r="BC80" s="229"/>
      <c r="BD80" s="230"/>
      <c r="BE80" s="216"/>
      <c r="BF80" s="217"/>
      <c r="BG80" s="217"/>
      <c r="BH80" s="218"/>
    </row>
    <row r="81" spans="2:60" ht="18" customHeight="1">
      <c r="B81" s="22"/>
      <c r="C81" s="219">
        <v>15</v>
      </c>
      <c r="D81" s="220"/>
      <c r="E81" s="223">
        <f>E77+TEXT($U$14*($X$14/1440)+($AI$14/1440)+($AW$14/1440),"hh:mm")</f>
        <v>0.5500000000000002</v>
      </c>
      <c r="F81" s="223"/>
      <c r="G81" s="223"/>
      <c r="H81" s="223"/>
      <c r="I81" s="254" t="str">
        <f>IF(OR(' '!L9=0,' '!B9&lt;&gt;SUM(AT49:AV52)),"",IF(OR(G49=4,G50=4,G51=4,G52=4),VLOOKUP(SMALL($G$49:$I$52,4),$G$49:$AG$52,7,0),IF(AND(SUM(AT49:AV52)=' '!B9,' '!E12=1),M52,"4. Platz Gruppe A nicht eindeutig")))</f>
        <v>Regine Hildebrand GS Birkenwerder II</v>
      </c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136" t="s">
        <v>14</v>
      </c>
      <c r="AE81" s="255" t="str">
        <f>IF(OR(' '!L18=0,' '!B18&lt;&gt;SUM(AT62:AV65)),"",IF(OR(G62=4,G63=4,G64=4,G65=4),VLOOKUP(SMALL($G$62:$I$65,4),$G$62:$AG$65,7,0),IF(AND(SUM(AT62:AV65)=' '!B18,' '!E21=1),M65,"4. Platz Gruppe B nicht eindeutig")))</f>
        <v>Bürgelschule Rathenow 2</v>
      </c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84"/>
      <c r="AZ81" s="266">
        <v>1</v>
      </c>
      <c r="BA81" s="266"/>
      <c r="BB81" s="267"/>
      <c r="BC81" s="241">
        <v>2</v>
      </c>
      <c r="BD81" s="241"/>
      <c r="BE81" s="204"/>
      <c r="BF81" s="205"/>
      <c r="BG81" s="205"/>
      <c r="BH81" s="206"/>
    </row>
    <row r="82" spans="2:60" ht="15" thickBot="1">
      <c r="B82" s="22"/>
      <c r="C82" s="221"/>
      <c r="D82" s="222"/>
      <c r="E82" s="224"/>
      <c r="F82" s="224"/>
      <c r="G82" s="224"/>
      <c r="H82" s="224"/>
      <c r="I82" s="227" t="s">
        <v>34</v>
      </c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138"/>
      <c r="AE82" s="228" t="s">
        <v>35</v>
      </c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68"/>
      <c r="AZ82" s="235"/>
      <c r="BA82" s="235"/>
      <c r="BB82" s="235"/>
      <c r="BC82" s="235"/>
      <c r="BD82" s="236"/>
      <c r="BE82" s="273"/>
      <c r="BF82" s="274"/>
      <c r="BG82" s="274"/>
      <c r="BH82" s="275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" thickBot="1">
      <c r="B84" s="22"/>
      <c r="C84" s="360" t="s">
        <v>9</v>
      </c>
      <c r="D84" s="229"/>
      <c r="E84" s="229" t="s">
        <v>63</v>
      </c>
      <c r="F84" s="229"/>
      <c r="G84" s="229"/>
      <c r="H84" s="229"/>
      <c r="I84" s="230" t="s">
        <v>36</v>
      </c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69"/>
      <c r="AZ84" s="229" t="s">
        <v>12</v>
      </c>
      <c r="BA84" s="229"/>
      <c r="BB84" s="229"/>
      <c r="BC84" s="229"/>
      <c r="BD84" s="230"/>
      <c r="BE84" s="216"/>
      <c r="BF84" s="217"/>
      <c r="BG84" s="217"/>
      <c r="BH84" s="218"/>
    </row>
    <row r="85" spans="2:86" s="36" customFormat="1" ht="18" customHeight="1">
      <c r="B85" s="22"/>
      <c r="C85" s="219">
        <v>16</v>
      </c>
      <c r="D85" s="220"/>
      <c r="E85" s="223">
        <f>E81+TEXT($U$14*($X$14/1440)+($AI$14/1440)+($AW$14/1440),"hh:mm")</f>
        <v>0.5590277777777779</v>
      </c>
      <c r="F85" s="223"/>
      <c r="G85" s="223"/>
      <c r="H85" s="223"/>
      <c r="I85" s="254" t="str">
        <f>IF(OR(' '!L9=0,' '!B9&lt;&gt;SUM(AT49:AV52)),"",IF(OR(G49=3,G50=3,G51=3,G52=3),VLOOKUP(SMALL($G$49:$I$52,3),$G$49:$AG$52,7,0),IF(AND(SUM(AT49:AV52)=' '!B9,' '!E11=1),M51,"3. Platz Gruppe A nicht eindeutig")))</f>
        <v>Jahngymnasium</v>
      </c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136" t="s">
        <v>14</v>
      </c>
      <c r="AE85" s="255" t="str">
        <f>IF(OR(' '!L18=0,' '!B18&lt;&gt;SUM(AT62:AV65)),"",IF(OR(G62=3,G63=3,G64=3,G65=3),VLOOKUP(SMALL($G$62:$I$65,3),$G$62:$AG$65,7,0),IF(AND(SUM(AT62:AV65)=' '!B18,' '!E20=1),M64,"3. Platz Gruppe B nicht eindeutig")))</f>
        <v>MCG Hohen Neuendorf 2</v>
      </c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84"/>
      <c r="AZ85" s="266">
        <v>1</v>
      </c>
      <c r="BA85" s="266"/>
      <c r="BB85" s="267"/>
      <c r="BC85" s="241">
        <v>2</v>
      </c>
      <c r="BD85" s="241"/>
      <c r="BE85" s="204"/>
      <c r="BF85" s="205"/>
      <c r="BG85" s="205"/>
      <c r="BH85" s="20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" thickBot="1">
      <c r="B86" s="22"/>
      <c r="C86" s="221"/>
      <c r="D86" s="222"/>
      <c r="E86" s="224"/>
      <c r="F86" s="224"/>
      <c r="G86" s="224"/>
      <c r="H86" s="224"/>
      <c r="I86" s="227" t="s">
        <v>37</v>
      </c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138"/>
      <c r="AE86" s="228" t="s">
        <v>38</v>
      </c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68"/>
      <c r="AZ86" s="235"/>
      <c r="BA86" s="235"/>
      <c r="BB86" s="235"/>
      <c r="BC86" s="235"/>
      <c r="BD86" s="236"/>
      <c r="BE86" s="273"/>
      <c r="BF86" s="274"/>
      <c r="BG86" s="274"/>
      <c r="BH86" s="275"/>
      <c r="BO86" s="1"/>
      <c r="BT86" s="2"/>
      <c r="BU86" s="3"/>
      <c r="BX86" s="4"/>
      <c r="BY86" s="3"/>
      <c r="CD86" s="4"/>
      <c r="CI86" s="2"/>
      <c r="CM86" s="5"/>
    </row>
    <row r="87" spans="2:91" ht="1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" thickBot="1">
      <c r="B88" s="22"/>
      <c r="C88" s="361" t="s">
        <v>9</v>
      </c>
      <c r="D88" s="225"/>
      <c r="E88" s="225" t="s">
        <v>63</v>
      </c>
      <c r="F88" s="225"/>
      <c r="G88" s="225"/>
      <c r="H88" s="225"/>
      <c r="I88" s="226" t="s">
        <v>39</v>
      </c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85"/>
      <c r="AZ88" s="225" t="s">
        <v>12</v>
      </c>
      <c r="BA88" s="225"/>
      <c r="BB88" s="225"/>
      <c r="BC88" s="225"/>
      <c r="BD88" s="226"/>
      <c r="BE88" s="276"/>
      <c r="BF88" s="277"/>
      <c r="BG88" s="277"/>
      <c r="BH88" s="278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19">
        <v>17</v>
      </c>
      <c r="D89" s="220"/>
      <c r="E89" s="223">
        <f>E85+TEXT($U$14*($X$14/1440)+($AI$14/1440)+($AW$14/1440),"hh:mm")</f>
        <v>0.5680555555555556</v>
      </c>
      <c r="F89" s="223"/>
      <c r="G89" s="223"/>
      <c r="H89" s="223"/>
      <c r="I89" s="254" t="str">
        <f>IF(ISBLANK(AZ73)," ",IF(AZ73&lt;BC73,I73,IF(AZ73&lt;BC73,AE73,AE73)))</f>
        <v>Runge Gymnasium Oranienburg</v>
      </c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136" t="s">
        <v>14</v>
      </c>
      <c r="AE89" s="255" t="str">
        <f>IF(ISBLANK(AZ77)," ",IF(AZ77&lt;BC77,I77,IF(AZ77&lt;BC77,AE77,AE77)))</f>
        <v>Regine Hildebrand Birkenwerder I</v>
      </c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84"/>
      <c r="AZ89" s="266">
        <v>1</v>
      </c>
      <c r="BA89" s="266"/>
      <c r="BB89" s="267"/>
      <c r="BC89" s="241">
        <v>2</v>
      </c>
      <c r="BD89" s="241"/>
      <c r="BE89" s="204"/>
      <c r="BF89" s="205"/>
      <c r="BG89" s="205"/>
      <c r="BH89" s="206"/>
      <c r="BO89" s="1"/>
      <c r="BT89" s="2"/>
      <c r="BU89" s="3"/>
      <c r="BX89" s="4"/>
      <c r="BY89" s="3"/>
      <c r="CD89" s="4"/>
      <c r="CI89" s="2"/>
      <c r="CM89" s="5"/>
    </row>
    <row r="90" spans="2:91" ht="15" thickBot="1">
      <c r="B90" s="22"/>
      <c r="C90" s="221"/>
      <c r="D90" s="222"/>
      <c r="E90" s="224"/>
      <c r="F90" s="224"/>
      <c r="G90" s="224"/>
      <c r="H90" s="224"/>
      <c r="I90" s="227" t="s">
        <v>40</v>
      </c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138"/>
      <c r="AE90" s="228" t="s">
        <v>41</v>
      </c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68"/>
      <c r="AZ90" s="235"/>
      <c r="BA90" s="235"/>
      <c r="BB90" s="235"/>
      <c r="BC90" s="235"/>
      <c r="BD90" s="236"/>
      <c r="BE90" s="273"/>
      <c r="BF90" s="274"/>
      <c r="BG90" s="274"/>
      <c r="BH90" s="275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" thickBot="1">
      <c r="B92" s="22"/>
      <c r="C92" s="361" t="s">
        <v>9</v>
      </c>
      <c r="D92" s="225"/>
      <c r="E92" s="225" t="s">
        <v>63</v>
      </c>
      <c r="F92" s="225"/>
      <c r="G92" s="225"/>
      <c r="H92" s="225"/>
      <c r="I92" s="226" t="s">
        <v>42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85"/>
      <c r="AZ92" s="225" t="s">
        <v>12</v>
      </c>
      <c r="BA92" s="225"/>
      <c r="BB92" s="225"/>
      <c r="BC92" s="225"/>
      <c r="BD92" s="226"/>
      <c r="BE92" s="276"/>
      <c r="BF92" s="277"/>
      <c r="BG92" s="277"/>
      <c r="BH92" s="278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19">
        <v>18</v>
      </c>
      <c r="D93" s="220"/>
      <c r="E93" s="223">
        <f>E89+TEXT($U$14*($X$14/1440)+($AI$14/1440)+($AW$14/1440),"hh:mm")</f>
        <v>0.5770833333333334</v>
      </c>
      <c r="F93" s="223"/>
      <c r="G93" s="223"/>
      <c r="H93" s="223"/>
      <c r="I93" s="254" t="str">
        <f>IF(ISBLANK(AZ73)," ",IF(AZ73&gt;BC73,I73,IF(AZ73&lt;BC73,AE73," ")))</f>
        <v>MCG Hohen Neuendorf 1</v>
      </c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136" t="s">
        <v>14</v>
      </c>
      <c r="AE93" s="255" t="str">
        <f>IF(ISBLANK(AZ77)," ",IF(AZ77&gt;BC77,I77,IF(AZ77&lt;BC77,AE77," ")))</f>
        <v>Bürgelschule Rathenow 1</v>
      </c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84"/>
      <c r="AZ93" s="266">
        <v>1</v>
      </c>
      <c r="BA93" s="266"/>
      <c r="BB93" s="267"/>
      <c r="BC93" s="241">
        <v>2</v>
      </c>
      <c r="BD93" s="241"/>
      <c r="BE93" s="204"/>
      <c r="BF93" s="205"/>
      <c r="BG93" s="205"/>
      <c r="BH93" s="206"/>
      <c r="BO93" s="1"/>
      <c r="BT93" s="2"/>
      <c r="BU93" s="3"/>
      <c r="BX93" s="4"/>
      <c r="BY93" s="3"/>
      <c r="CD93" s="4"/>
      <c r="CI93" s="2"/>
      <c r="CM93" s="5"/>
    </row>
    <row r="94" spans="2:91" ht="15" thickBot="1">
      <c r="B94" s="22"/>
      <c r="C94" s="221"/>
      <c r="D94" s="222"/>
      <c r="E94" s="224"/>
      <c r="F94" s="224"/>
      <c r="G94" s="224"/>
      <c r="H94" s="224"/>
      <c r="I94" s="227" t="s">
        <v>43</v>
      </c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138"/>
      <c r="AE94" s="228" t="s">
        <v>44</v>
      </c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68"/>
      <c r="AZ94" s="235"/>
      <c r="BA94" s="235"/>
      <c r="BB94" s="235"/>
      <c r="BC94" s="235"/>
      <c r="BD94" s="236"/>
      <c r="BE94" s="273"/>
      <c r="BF94" s="274"/>
      <c r="BG94" s="274"/>
      <c r="BH94" s="275"/>
      <c r="BO94" s="1"/>
      <c r="BT94" s="2"/>
      <c r="BU94" s="3"/>
      <c r="BX94" s="4"/>
      <c r="BY94" s="3"/>
      <c r="CD94" s="4"/>
      <c r="CI94" s="2"/>
      <c r="CM94" s="5"/>
    </row>
    <row r="95" spans="2:91" ht="13.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3.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6" t="s">
        <v>46</v>
      </c>
      <c r="K98" s="197"/>
      <c r="L98" s="213" t="str">
        <f>IF(ISBLANK($BC$93)," ",IF($AZ$93&gt;$BC$93,$I$93,IF($BC$93&gt;$AZ$93,$AE$93)))</f>
        <v>Bürgelschule Rathenow 1</v>
      </c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5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4" t="s">
        <v>47</v>
      </c>
      <c r="K99" s="195"/>
      <c r="L99" s="210" t="str">
        <f>IF(ISBLANK($BC$93)," ",IF($AZ$93&lt;$BC$93,$I$93,IF($BC$93&lt;$AZ$93,$AE$93)))</f>
        <v>MCG Hohen Neuendorf 1</v>
      </c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4" t="s">
        <v>48</v>
      </c>
      <c r="K100" s="195"/>
      <c r="L100" s="210" t="str">
        <f>IF(ISBLANK($BC$89)," ",IF($AZ$89&gt;$BC$89,$I$89,IF($BC$89&gt;$AZ$89,$AE$89)))</f>
        <v>Regine Hildebrand Birkenwerder I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4" t="s">
        <v>49</v>
      </c>
      <c r="K101" s="195"/>
      <c r="L101" s="210" t="str">
        <f>IF(ISBLANK($BC$89)," ",IF($AZ$89&lt;$BC$89,$I$89,IF($BC$89&lt;$AZ$89,$AE$89)))</f>
        <v>Runge Gymnasium Oranienburg</v>
      </c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4" t="s">
        <v>50</v>
      </c>
      <c r="K102" s="195"/>
      <c r="L102" s="210" t="str">
        <f>IF(ISBLANK($BC$85)," ",IF($AZ$85&gt;$BC$85,$I$85,IF($BC$85&gt;$AZ$85,$AE$85)))</f>
        <v>MCG Hohen Neuendorf 2</v>
      </c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4" t="s">
        <v>51</v>
      </c>
      <c r="K103" s="195"/>
      <c r="L103" s="210" t="str">
        <f>IF(ISBLANK($BC$85)," ",IF($AZ$85&lt;$BC$85,$I$85,IF($BC$85&lt;$AZ$85,$AE$85)))</f>
        <v>Jahngymnasium</v>
      </c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4" t="s">
        <v>52</v>
      </c>
      <c r="K104" s="195"/>
      <c r="L104" s="210" t="str">
        <f>IF(ISBLANK($BC$81)," ",IF($AZ$81&gt;$BC$81,$I$81,IF($BC$81&gt;$AZ$81,$AE$81)))</f>
        <v>Bürgelschule Rathenow 2</v>
      </c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2" t="s">
        <v>53</v>
      </c>
      <c r="K105" s="203"/>
      <c r="L105" s="207" t="str">
        <f>IF(ISBLANK($BC$81)," ",IF($AZ$81&lt;$BC$81,$I$81,IF($BC$81&lt;$AZ$81,$AE$81)))</f>
        <v>Regine Hildebrand GS Birkenwerder II</v>
      </c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9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9" t="s">
        <v>65</v>
      </c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41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20" t="s">
        <v>66</v>
      </c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  <c r="AJ109" s="420"/>
      <c r="AK109" s="420"/>
      <c r="AL109" s="420"/>
      <c r="AM109" s="420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20" t="s">
        <v>67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20" t="s">
        <v>68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18" t="s">
        <v>69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7" t="s">
        <v>70</v>
      </c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7" t="s">
        <v>71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7" t="s">
        <v>72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7" t="s">
        <v>73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</sheetData>
  <sheetProtection sheet="1" scenarios="1" selectLockedCells="1"/>
  <mergeCells count="408"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8:BB28"/>
    <mergeCell ref="AH27:BB27"/>
    <mergeCell ref="L31:AF31"/>
    <mergeCell ref="C28:D28"/>
    <mergeCell ref="C27:D27"/>
    <mergeCell ref="E27:G27"/>
    <mergeCell ref="C30:D30"/>
    <mergeCell ref="C31:D31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N61:BP61"/>
    <mergeCell ref="BF61:BJ61"/>
    <mergeCell ref="BI52:BJ52"/>
    <mergeCell ref="BK52:BM52"/>
    <mergeCell ref="BK51:BM51"/>
    <mergeCell ref="BF63:BG63"/>
    <mergeCell ref="BI64:BJ64"/>
    <mergeCell ref="BF64:BG64"/>
    <mergeCell ref="BK61:BM61"/>
    <mergeCell ref="BI51:BJ51"/>
    <mergeCell ref="BF52:BG52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I76:AY76"/>
    <mergeCell ref="I81:AC81"/>
    <mergeCell ref="AE74:AY74"/>
    <mergeCell ref="AZ85:BB85"/>
    <mergeCell ref="BC85:BD85"/>
    <mergeCell ref="AZ86:BD86"/>
    <mergeCell ref="AE78:AY78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94:BH94"/>
    <mergeCell ref="BE93:BH93"/>
    <mergeCell ref="BE92:BH92"/>
    <mergeCell ref="BE90:BH90"/>
    <mergeCell ref="BE88:BH88"/>
    <mergeCell ref="BE86:BH86"/>
    <mergeCell ref="I80:AY80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J105:K105"/>
    <mergeCell ref="J104:K104"/>
    <mergeCell ref="J103:K103"/>
    <mergeCell ref="J102:K102"/>
    <mergeCell ref="J101:K101"/>
    <mergeCell ref="J100:K100"/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/>
  <headerFooter alignWithMargins="0">
    <oddFooter xml:space="preserve">&amp;R&amp;P von &amp;N </oddFooter>
  </headerFooter>
  <rowBreaks count="2" manualBreakCount="2">
    <brk id="38" max="68" man="1"/>
    <brk id="94" max="6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Regionalfinale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.75">
      <c r="B3" s="425" t="str">
        <f>Ergebniseingabe!C3</f>
        <v>Beach Volleyball Premnitz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.75">
      <c r="B4" s="424">
        <f>Ergebniseingabe!C4</f>
        <v>0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3.5">
      <c r="B6" s="436">
        <f>Ergebniseingabe!C6</f>
        <v>44818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3.5">
      <c r="B8" s="423" t="str">
        <f>Ergebniseingabe!C8</f>
        <v>Premniz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3.5">
      <c r="A10" s="198" t="s">
        <v>62</v>
      </c>
      <c r="B10" s="198"/>
      <c r="C10" s="198"/>
      <c r="D10" s="198"/>
      <c r="E10" s="198"/>
      <c r="F10" s="198"/>
      <c r="G10" s="640">
        <f>Ergebniseingabe!H11</f>
        <v>0.4166666666666667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10</v>
      </c>
      <c r="X10" s="638"/>
      <c r="Y10" s="638"/>
      <c r="Z10" s="638"/>
      <c r="AA10" s="638"/>
      <c r="AB10" s="379">
        <f>IF(T10=2,"Halbzeit:","")</f>
      </c>
      <c r="AC10" s="379"/>
      <c r="AD10" s="379"/>
      <c r="AE10" s="379"/>
      <c r="AF10" s="379"/>
      <c r="AG10" s="379"/>
      <c r="AH10" s="638">
        <f>IF(Ergebniseingabe!AI11="","",Ergebniseingabe!AI11)</f>
      </c>
      <c r="AI10" s="638"/>
      <c r="AJ10" s="638"/>
      <c r="AK10" s="638"/>
      <c r="AL10" s="638"/>
      <c r="AM10" s="198" t="s">
        <v>3</v>
      </c>
      <c r="AN10" s="198"/>
      <c r="AO10" s="198"/>
      <c r="AP10" s="198"/>
      <c r="AQ10" s="198"/>
      <c r="AR10" s="198"/>
      <c r="AS10" s="198"/>
      <c r="AT10" s="198"/>
      <c r="AU10" s="198"/>
      <c r="AV10" s="639">
        <f>Ergebniseingabe!AW11</f>
        <v>3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0" t="str">
        <f>Ergebniseingabe!D18</f>
        <v>Gruppe A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2"/>
      <c r="AB14" s="477" t="str">
        <f>Ergebniseingabe!AC18</f>
        <v>Gruppe B</v>
      </c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9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Bürgelschule Rathenow 1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Regine Hildebrand Birkenwerder I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Jahngymnasium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MCG Hohen Neuendorf 2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MCG Hohen Neuendorf 1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Runge Gymnasium Oranienburg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Regine Hildebrand GS Birkenwerder II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Bürgelschule Rathenow 2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.7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61" t="s">
        <v>9</v>
      </c>
      <c r="C22" s="462"/>
      <c r="D22" s="463" t="s">
        <v>10</v>
      </c>
      <c r="E22" s="464"/>
      <c r="F22" s="465"/>
      <c r="G22" s="463" t="s">
        <v>63</v>
      </c>
      <c r="H22" s="464"/>
      <c r="I22" s="464"/>
      <c r="J22" s="465"/>
      <c r="K22" s="463" t="s">
        <v>11</v>
      </c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5"/>
      <c r="BB22" s="463" t="s">
        <v>12</v>
      </c>
      <c r="BC22" s="464"/>
      <c r="BD22" s="464"/>
      <c r="BE22" s="464"/>
      <c r="BF22" s="464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487">
        <f>Ergebniseingabe!H27</f>
        <v>0.4166666666666667</v>
      </c>
      <c r="H23" s="488"/>
      <c r="I23" s="488"/>
      <c r="J23" s="489"/>
      <c r="K23" s="452" t="str">
        <f>Ergebniseingabe!L27</f>
        <v>Bürgelschule Rathenow 1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Jahngymnasium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6">
        <f>IF(Ergebniseingabe!BC27="","",Ergebniseingabe!BC27)</f>
        <v>2</v>
      </c>
      <c r="BC23" s="507"/>
      <c r="BD23" s="507"/>
      <c r="BE23" s="512">
        <f>IF(Ergebniseingabe!BF27="","",Ergebniseingabe!BF27)</f>
        <v>1</v>
      </c>
      <c r="BF23" s="513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66">
        <v>2</v>
      </c>
      <c r="C24" s="467"/>
      <c r="D24" s="467" t="str">
        <f>Ergebniseingabe!E28</f>
        <v>A</v>
      </c>
      <c r="E24" s="467"/>
      <c r="F24" s="467"/>
      <c r="G24" s="484">
        <f>Ergebniseingabe!H28</f>
        <v>0.4256944444444445</v>
      </c>
      <c r="H24" s="485"/>
      <c r="I24" s="485"/>
      <c r="J24" s="486"/>
      <c r="K24" s="470" t="str">
        <f>Ergebniseingabe!L28</f>
        <v>MCG Hohen Neuendorf 1</v>
      </c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77" t="s">
        <v>14</v>
      </c>
      <c r="AG24" s="471" t="str">
        <f>Ergebniseingabe!AH28</f>
        <v>Regine Hildebrand GS Birkenwerder II</v>
      </c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93"/>
      <c r="BB24" s="508">
        <f>IF(Ergebniseingabe!BC28="","",Ergebniseingabe!BC28)</f>
        <v>3</v>
      </c>
      <c r="BC24" s="509"/>
      <c r="BD24" s="509"/>
      <c r="BE24" s="516">
        <f>IF(Ergebniseingabe!BF28="","",Ergebniseingabe!BF28)</f>
        <v>0</v>
      </c>
      <c r="BF24" s="517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68">
        <v>3</v>
      </c>
      <c r="C25" s="469"/>
      <c r="D25" s="469" t="str">
        <f>Ergebniseingabe!E29</f>
        <v>B</v>
      </c>
      <c r="E25" s="469"/>
      <c r="F25" s="469"/>
      <c r="G25" s="490">
        <f>Ergebniseingabe!H29</f>
        <v>0.4347222222222223</v>
      </c>
      <c r="H25" s="491"/>
      <c r="I25" s="491"/>
      <c r="J25" s="492"/>
      <c r="K25" s="472" t="str">
        <f>Ergebniseingabe!L29</f>
        <v>Regine Hildebrand Birkenwerder I</v>
      </c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192" t="s">
        <v>14</v>
      </c>
      <c r="AG25" s="473" t="str">
        <f>Ergebniseingabe!AH29</f>
        <v>MCG Hohen Neuendorf 2</v>
      </c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94"/>
      <c r="BB25" s="514">
        <f>IF(Ergebniseingabe!BC29="","",Ergebniseingabe!BC29)</f>
        <v>2</v>
      </c>
      <c r="BC25" s="515"/>
      <c r="BD25" s="515"/>
      <c r="BE25" s="510">
        <f>IF(Ergebniseingabe!BF29="","",Ergebniseingabe!BF29)</f>
        <v>1</v>
      </c>
      <c r="BF25" s="511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66">
        <v>4</v>
      </c>
      <c r="C26" s="467"/>
      <c r="D26" s="467" t="str">
        <f>Ergebniseingabe!E30</f>
        <v>B</v>
      </c>
      <c r="E26" s="467"/>
      <c r="F26" s="467"/>
      <c r="G26" s="484">
        <f>Ergebniseingabe!H30</f>
        <v>0.4437500000000001</v>
      </c>
      <c r="H26" s="485"/>
      <c r="I26" s="485"/>
      <c r="J26" s="486"/>
      <c r="K26" s="470" t="str">
        <f>Ergebniseingabe!L30</f>
        <v>Runge Gymnasium Oranienburg</v>
      </c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77" t="s">
        <v>14</v>
      </c>
      <c r="AG26" s="471" t="str">
        <f>Ergebniseingabe!AH30</f>
        <v>Bürgelschule Rathenow 2</v>
      </c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93"/>
      <c r="BB26" s="508">
        <f>IF(Ergebniseingabe!BC30="","",Ergebniseingabe!BC30)</f>
        <v>2</v>
      </c>
      <c r="BC26" s="509"/>
      <c r="BD26" s="509"/>
      <c r="BE26" s="516">
        <f>IF(Ergebniseingabe!BF30="","",Ergebniseingabe!BF30)</f>
        <v>1</v>
      </c>
      <c r="BF26" s="517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68">
        <v>5</v>
      </c>
      <c r="C27" s="469"/>
      <c r="D27" s="469" t="str">
        <f>Ergebniseingabe!E31</f>
        <v>A</v>
      </c>
      <c r="E27" s="469"/>
      <c r="F27" s="469"/>
      <c r="G27" s="490">
        <f>Ergebniseingabe!H31</f>
        <v>0.4527777777777779</v>
      </c>
      <c r="H27" s="491"/>
      <c r="I27" s="491"/>
      <c r="J27" s="492"/>
      <c r="K27" s="472" t="str">
        <f>Ergebniseingabe!L31</f>
        <v>Bürgelschule Rathenow 1</v>
      </c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192" t="s">
        <v>14</v>
      </c>
      <c r="AG27" s="473" t="str">
        <f>Ergebniseingabe!AH31</f>
        <v>MCG Hohen Neuendorf 1</v>
      </c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94"/>
      <c r="BB27" s="514">
        <f>IF(Ergebniseingabe!BC31="","",Ergebniseingabe!BC31)</f>
        <v>1</v>
      </c>
      <c r="BC27" s="515"/>
      <c r="BD27" s="515"/>
      <c r="BE27" s="510">
        <f>IF(Ergebniseingabe!BF31="","",Ergebniseingabe!BF31)</f>
        <v>2</v>
      </c>
      <c r="BF27" s="511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66">
        <v>6</v>
      </c>
      <c r="C28" s="467"/>
      <c r="D28" s="467" t="str">
        <f>Ergebniseingabe!E32</f>
        <v>A</v>
      </c>
      <c r="E28" s="467"/>
      <c r="F28" s="467"/>
      <c r="G28" s="484">
        <f>Ergebniseingabe!H32</f>
        <v>0.4618055555555557</v>
      </c>
      <c r="H28" s="485"/>
      <c r="I28" s="485"/>
      <c r="J28" s="486"/>
      <c r="K28" s="470" t="str">
        <f>Ergebniseingabe!L32</f>
        <v>Jahngymnasium</v>
      </c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77" t="s">
        <v>14</v>
      </c>
      <c r="AG28" s="471" t="str">
        <f>Ergebniseingabe!AH32</f>
        <v>Regine Hildebrand GS Birkenwerder II</v>
      </c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93"/>
      <c r="BB28" s="508">
        <f>IF(Ergebniseingabe!BC32="","",Ergebniseingabe!BC32)</f>
        <v>2</v>
      </c>
      <c r="BC28" s="509"/>
      <c r="BD28" s="509"/>
      <c r="BE28" s="516">
        <f>IF(Ergebniseingabe!BF32="","",Ergebniseingabe!BF32)</f>
        <v>1</v>
      </c>
      <c r="BF28" s="517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68">
        <v>7</v>
      </c>
      <c r="C29" s="469"/>
      <c r="D29" s="469" t="str">
        <f>Ergebniseingabe!E33</f>
        <v>B</v>
      </c>
      <c r="E29" s="469"/>
      <c r="F29" s="469"/>
      <c r="G29" s="490">
        <f>Ergebniseingabe!H33</f>
        <v>0.4708333333333335</v>
      </c>
      <c r="H29" s="491"/>
      <c r="I29" s="491"/>
      <c r="J29" s="492"/>
      <c r="K29" s="472" t="str">
        <f>Ergebniseingabe!L33</f>
        <v>Regine Hildebrand Birkenwerder I</v>
      </c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192" t="s">
        <v>14</v>
      </c>
      <c r="AG29" s="473" t="str">
        <f>Ergebniseingabe!AH33</f>
        <v>Runge Gymnasium Oranienburg</v>
      </c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94"/>
      <c r="BB29" s="514">
        <f>IF(Ergebniseingabe!BC33="","",Ergebniseingabe!BC33)</f>
        <v>3</v>
      </c>
      <c r="BC29" s="515"/>
      <c r="BD29" s="515"/>
      <c r="BE29" s="510">
        <f>IF(Ergebniseingabe!BF33="","",Ergebniseingabe!BF33)</f>
        <v>0</v>
      </c>
      <c r="BF29" s="511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66">
        <v>8</v>
      </c>
      <c r="C30" s="467"/>
      <c r="D30" s="467" t="str">
        <f>Ergebniseingabe!E34</f>
        <v>B</v>
      </c>
      <c r="E30" s="467"/>
      <c r="F30" s="467"/>
      <c r="G30" s="484">
        <f>Ergebniseingabe!H34</f>
        <v>0.4798611111111113</v>
      </c>
      <c r="H30" s="485"/>
      <c r="I30" s="485"/>
      <c r="J30" s="486"/>
      <c r="K30" s="470" t="str">
        <f>Ergebniseingabe!L34</f>
        <v>MCG Hohen Neuendorf 2</v>
      </c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77" t="s">
        <v>14</v>
      </c>
      <c r="AG30" s="471" t="str">
        <f>Ergebniseingabe!AH34</f>
        <v>Bürgelschule Rathenow 2</v>
      </c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93"/>
      <c r="BB30" s="508">
        <f>IF(Ergebniseingabe!BC34="","",Ergebniseingabe!BC34)</f>
        <v>3</v>
      </c>
      <c r="BC30" s="509"/>
      <c r="BD30" s="509"/>
      <c r="BE30" s="516">
        <f>IF(Ergebniseingabe!BF34="","",Ergebniseingabe!BF34)</f>
        <v>0</v>
      </c>
      <c r="BF30" s="517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68">
        <v>9</v>
      </c>
      <c r="C31" s="469"/>
      <c r="D31" s="469" t="str">
        <f>Ergebniseingabe!E35</f>
        <v>A</v>
      </c>
      <c r="E31" s="469"/>
      <c r="F31" s="469"/>
      <c r="G31" s="490">
        <f>Ergebniseingabe!H35</f>
        <v>0.4888888888888891</v>
      </c>
      <c r="H31" s="491"/>
      <c r="I31" s="491"/>
      <c r="J31" s="492"/>
      <c r="K31" s="472" t="str">
        <f>Ergebniseingabe!L35</f>
        <v>Regine Hildebrand GS Birkenwerder II</v>
      </c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192" t="s">
        <v>14</v>
      </c>
      <c r="AG31" s="473" t="str">
        <f>Ergebniseingabe!AH35</f>
        <v>Bürgelschule Rathenow 1</v>
      </c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94"/>
      <c r="BB31" s="514">
        <f>IF(Ergebniseingabe!BC35="","",Ergebniseingabe!BC35)</f>
        <v>0</v>
      </c>
      <c r="BC31" s="515"/>
      <c r="BD31" s="515"/>
      <c r="BE31" s="510">
        <f>IF(Ergebniseingabe!BF35="","",Ergebniseingabe!BF35)</f>
        <v>3</v>
      </c>
      <c r="BF31" s="511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66">
        <v>10</v>
      </c>
      <c r="C32" s="467"/>
      <c r="D32" s="467" t="str">
        <f>Ergebniseingabe!E36</f>
        <v>A</v>
      </c>
      <c r="E32" s="467"/>
      <c r="F32" s="467"/>
      <c r="G32" s="484">
        <f>Ergebniseingabe!H36</f>
        <v>0.4979166666666669</v>
      </c>
      <c r="H32" s="485"/>
      <c r="I32" s="485"/>
      <c r="J32" s="486"/>
      <c r="K32" s="470" t="str">
        <f>Ergebniseingabe!L36</f>
        <v>MCG Hohen Neuendorf 1</v>
      </c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77" t="s">
        <v>14</v>
      </c>
      <c r="AG32" s="471" t="str">
        <f>Ergebniseingabe!AH36</f>
        <v>Jahngymnasium</v>
      </c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93"/>
      <c r="BB32" s="508">
        <f>IF(Ergebniseingabe!BC36="","",Ergebniseingabe!BC36)</f>
        <v>2</v>
      </c>
      <c r="BC32" s="509"/>
      <c r="BD32" s="509"/>
      <c r="BE32" s="516">
        <f>IF(Ergebniseingabe!BF36="","",Ergebniseingabe!BF36)</f>
        <v>1</v>
      </c>
      <c r="BF32" s="517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68">
        <v>11</v>
      </c>
      <c r="C33" s="469"/>
      <c r="D33" s="469" t="str">
        <f>Ergebniseingabe!E37</f>
        <v>B</v>
      </c>
      <c r="E33" s="469"/>
      <c r="F33" s="469"/>
      <c r="G33" s="490">
        <f>Ergebniseingabe!H37</f>
        <v>0.5069444444444446</v>
      </c>
      <c r="H33" s="491"/>
      <c r="I33" s="491"/>
      <c r="J33" s="492"/>
      <c r="K33" s="472" t="str">
        <f>Ergebniseingabe!L37</f>
        <v>Bürgelschule Rathenow 2</v>
      </c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192" t="s">
        <v>14</v>
      </c>
      <c r="AG33" s="473" t="str">
        <f>Ergebniseingabe!AH37</f>
        <v>Regine Hildebrand Birkenwerder I</v>
      </c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94"/>
      <c r="BB33" s="514">
        <f>IF(Ergebniseingabe!BC37="","",Ergebniseingabe!BC37)</f>
        <v>2</v>
      </c>
      <c r="BC33" s="515"/>
      <c r="BD33" s="515"/>
      <c r="BE33" s="510">
        <f>IF(Ergebniseingabe!BF37="","",Ergebniseingabe!BF37)</f>
        <v>1</v>
      </c>
      <c r="BF33" s="511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66">
        <v>12</v>
      </c>
      <c r="C34" s="467"/>
      <c r="D34" s="467" t="str">
        <f>Ergebniseingabe!E38</f>
        <v>B</v>
      </c>
      <c r="E34" s="467"/>
      <c r="F34" s="467"/>
      <c r="G34" s="484">
        <f>Ergebniseingabe!H38</f>
        <v>0.5159722222222224</v>
      </c>
      <c r="H34" s="485"/>
      <c r="I34" s="485"/>
      <c r="J34" s="486"/>
      <c r="K34" s="470" t="str">
        <f>Ergebniseingabe!L38</f>
        <v>Runge Gymnasium Oranienburg</v>
      </c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77" t="s">
        <v>14</v>
      </c>
      <c r="AG34" s="471" t="str">
        <f>Ergebniseingabe!AH38</f>
        <v>MCG Hohen Neuendorf 2</v>
      </c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93"/>
      <c r="BB34" s="508">
        <f>IF(Ergebniseingabe!BC38="","",Ergebniseingabe!BC38)</f>
        <v>2</v>
      </c>
      <c r="BC34" s="509"/>
      <c r="BD34" s="509"/>
      <c r="BE34" s="516">
        <f>IF(Ergebniseingabe!BF38="","",Ergebniseingabe!BF38)</f>
        <v>1</v>
      </c>
      <c r="BF34" s="517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30" t="str">
        <f>L45</f>
        <v>MCG Hohen Neuendorf 1</v>
      </c>
      <c r="AH37" s="531"/>
      <c r="AI37" s="532"/>
      <c r="AJ37" s="539" t="str">
        <f>L46</f>
        <v>Bürgelschule Rathenow 1</v>
      </c>
      <c r="AK37" s="531"/>
      <c r="AL37" s="532"/>
      <c r="AM37" s="539" t="str">
        <f>L47</f>
        <v>Jahngymnasium</v>
      </c>
      <c r="AN37" s="531"/>
      <c r="AO37" s="532"/>
      <c r="AP37" s="539" t="str">
        <f>L48</f>
        <v>Regine Hildebrand GS Birkenwerder II</v>
      </c>
      <c r="AQ37" s="531"/>
      <c r="AR37" s="545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33"/>
      <c r="AH38" s="534"/>
      <c r="AI38" s="535"/>
      <c r="AJ38" s="540"/>
      <c r="AK38" s="534"/>
      <c r="AL38" s="535"/>
      <c r="AM38" s="540"/>
      <c r="AN38" s="534"/>
      <c r="AO38" s="535"/>
      <c r="AP38" s="540"/>
      <c r="AQ38" s="534"/>
      <c r="AR38" s="54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33"/>
      <c r="AH39" s="534"/>
      <c r="AI39" s="535"/>
      <c r="AJ39" s="540"/>
      <c r="AK39" s="534"/>
      <c r="AL39" s="535"/>
      <c r="AM39" s="540"/>
      <c r="AN39" s="534"/>
      <c r="AO39" s="535"/>
      <c r="AP39" s="540"/>
      <c r="AQ39" s="534"/>
      <c r="AR39" s="54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33"/>
      <c r="AH40" s="534"/>
      <c r="AI40" s="535"/>
      <c r="AJ40" s="540"/>
      <c r="AK40" s="534"/>
      <c r="AL40" s="535"/>
      <c r="AM40" s="540"/>
      <c r="AN40" s="534"/>
      <c r="AO40" s="535"/>
      <c r="AP40" s="540"/>
      <c r="AQ40" s="534"/>
      <c r="AR40" s="54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33"/>
      <c r="AH41" s="534"/>
      <c r="AI41" s="535"/>
      <c r="AJ41" s="540"/>
      <c r="AK41" s="534"/>
      <c r="AL41" s="535"/>
      <c r="AM41" s="540"/>
      <c r="AN41" s="534"/>
      <c r="AO41" s="535"/>
      <c r="AP41" s="540"/>
      <c r="AQ41" s="534"/>
      <c r="AR41" s="54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33"/>
      <c r="AH42" s="534"/>
      <c r="AI42" s="535"/>
      <c r="AJ42" s="540"/>
      <c r="AK42" s="534"/>
      <c r="AL42" s="535"/>
      <c r="AM42" s="540"/>
      <c r="AN42" s="534"/>
      <c r="AO42" s="535"/>
      <c r="AP42" s="540"/>
      <c r="AQ42" s="534"/>
      <c r="AR42" s="54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474" t="s">
        <v>16</v>
      </c>
      <c r="C43" s="475"/>
      <c r="D43" s="475"/>
      <c r="E43" s="475"/>
      <c r="F43" s="475"/>
      <c r="G43" s="475"/>
      <c r="H43" s="476"/>
      <c r="AG43" s="533"/>
      <c r="AH43" s="534"/>
      <c r="AI43" s="535"/>
      <c r="AJ43" s="540"/>
      <c r="AK43" s="534"/>
      <c r="AL43" s="535"/>
      <c r="AM43" s="540"/>
      <c r="AN43" s="534"/>
      <c r="AO43" s="535"/>
      <c r="AP43" s="540"/>
      <c r="AQ43" s="534"/>
      <c r="AR43" s="54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605" t="s">
        <v>17</v>
      </c>
      <c r="C44" s="606"/>
      <c r="D44" s="606"/>
      <c r="E44" s="607"/>
      <c r="F44" s="605" t="s">
        <v>18</v>
      </c>
      <c r="G44" s="606"/>
      <c r="H44" s="607"/>
      <c r="J44" s="637" t="str">
        <f>Ergebniseingabe!K48</f>
        <v>Gruppe A</v>
      </c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64"/>
      <c r="AG44" s="536"/>
      <c r="AH44" s="537"/>
      <c r="AI44" s="538"/>
      <c r="AJ44" s="541"/>
      <c r="AK44" s="537"/>
      <c r="AL44" s="538"/>
      <c r="AM44" s="541"/>
      <c r="AN44" s="537"/>
      <c r="AO44" s="538"/>
      <c r="AP44" s="541"/>
      <c r="AQ44" s="537"/>
      <c r="AR44" s="547"/>
      <c r="AS44" s="519" t="s">
        <v>19</v>
      </c>
      <c r="AT44" s="519"/>
      <c r="AU44" s="520"/>
      <c r="AV44" s="518" t="s">
        <v>20</v>
      </c>
      <c r="AW44" s="519"/>
      <c r="AX44" s="520"/>
      <c r="AY44" s="518" t="s">
        <v>21</v>
      </c>
      <c r="AZ44" s="519"/>
      <c r="BA44" s="520"/>
      <c r="BB44" s="518" t="s">
        <v>22</v>
      </c>
      <c r="BC44" s="519"/>
      <c r="BD44" s="520"/>
      <c r="BE44" s="565" t="s">
        <v>23</v>
      </c>
      <c r="BF44" s="565"/>
      <c r="BG44" s="565"/>
      <c r="BH44" s="565"/>
      <c r="BI44" s="565"/>
      <c r="BJ44" s="565" t="s">
        <v>24</v>
      </c>
      <c r="BK44" s="565"/>
      <c r="BL44" s="518"/>
      <c r="BM44" s="518" t="s">
        <v>25</v>
      </c>
      <c r="BN44" s="519"/>
      <c r="BO44" s="564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604">
        <f>IF(Ergebniseingabe!C49="","",Ergebniseingabe!C49)</f>
      </c>
      <c r="C45" s="604"/>
      <c r="D45" s="604"/>
      <c r="E45" s="604"/>
      <c r="F45" s="604">
        <f>IF(Ergebniseingabe!G49="","",Ergebniseingabe!G49)</f>
      </c>
      <c r="G45" s="604"/>
      <c r="H45" s="604"/>
      <c r="J45" s="595">
        <f>Ergebniseingabe!K49</f>
        <v>1</v>
      </c>
      <c r="K45" s="596"/>
      <c r="L45" s="633" t="str">
        <f>Ergebniseingabe!M49</f>
        <v>MCG Hohen Neuendorf 1</v>
      </c>
      <c r="M45" s="634"/>
      <c r="N45" s="634"/>
      <c r="O45" s="634"/>
      <c r="P45" s="634"/>
      <c r="Q45" s="634"/>
      <c r="R45" s="634"/>
      <c r="S45" s="634"/>
      <c r="T45" s="634"/>
      <c r="U45" s="634"/>
      <c r="V45" s="634"/>
      <c r="W45" s="634"/>
      <c r="X45" s="634"/>
      <c r="Y45" s="634"/>
      <c r="Z45" s="634"/>
      <c r="AA45" s="634"/>
      <c r="AB45" s="634"/>
      <c r="AC45" s="634"/>
      <c r="AD45" s="634"/>
      <c r="AE45" s="634"/>
      <c r="AF45" s="634"/>
      <c r="AG45" s="631"/>
      <c r="AH45" s="631"/>
      <c r="AI45" s="632"/>
      <c r="AJ45" s="556" t="str">
        <f>Ergebniseingabe!AK49</f>
        <v>2:1</v>
      </c>
      <c r="AK45" s="557"/>
      <c r="AL45" s="558"/>
      <c r="AM45" s="556" t="str">
        <f>Ergebniseingabe!AN49</f>
        <v>2:1</v>
      </c>
      <c r="AN45" s="557"/>
      <c r="AO45" s="558"/>
      <c r="AP45" s="566" t="str">
        <f>Ergebniseingabe!AQ49</f>
        <v>3:0</v>
      </c>
      <c r="AQ45" s="542"/>
      <c r="AR45" s="542"/>
      <c r="AS45" s="542">
        <f>Ergebniseingabe!AT49</f>
        <v>3</v>
      </c>
      <c r="AT45" s="542"/>
      <c r="AU45" s="543"/>
      <c r="AV45" s="544">
        <f>Ergebniseingabe!AW49</f>
        <v>3</v>
      </c>
      <c r="AW45" s="544"/>
      <c r="AX45" s="544"/>
      <c r="AY45" s="544">
        <f>Ergebniseingabe!AZ49</f>
        <v>0</v>
      </c>
      <c r="AZ45" s="544"/>
      <c r="BA45" s="544"/>
      <c r="BB45" s="544">
        <f>Ergebniseingabe!BC49</f>
        <v>0</v>
      </c>
      <c r="BC45" s="544"/>
      <c r="BD45" s="544"/>
      <c r="BE45" s="557">
        <f>Ergebniseingabe!BF49</f>
        <v>7</v>
      </c>
      <c r="BF45" s="557"/>
      <c r="BG45" s="79" t="str">
        <f>Ergebniseingabe!BH49</f>
        <v>:</v>
      </c>
      <c r="BH45" s="558">
        <f>Ergebniseingabe!BI49</f>
        <v>2</v>
      </c>
      <c r="BI45" s="544"/>
      <c r="BJ45" s="553">
        <f>Ergebniseingabe!BK49</f>
        <v>5</v>
      </c>
      <c r="BK45" s="553"/>
      <c r="BL45" s="554"/>
      <c r="BM45" s="544">
        <f>Ergebniseingabe!BN49</f>
        <v>9</v>
      </c>
      <c r="BN45" s="544"/>
      <c r="BO45" s="566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604">
        <f>IF(Ergebniseingabe!C50="","",Ergebniseingabe!C50)</f>
      </c>
      <c r="C46" s="604"/>
      <c r="D46" s="604"/>
      <c r="E46" s="604"/>
      <c r="F46" s="604">
        <f>IF(Ergebniseingabe!G50="","",Ergebniseingabe!G50)</f>
      </c>
      <c r="G46" s="604"/>
      <c r="H46" s="604"/>
      <c r="J46" s="498">
        <f>Ergebniseingabe!K50</f>
        <v>2</v>
      </c>
      <c r="K46" s="499"/>
      <c r="L46" s="591" t="str">
        <f>Ergebniseingabe!M50</f>
        <v>Bürgelschule Rathenow 1</v>
      </c>
      <c r="M46" s="592"/>
      <c r="N46" s="592"/>
      <c r="O46" s="592"/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592"/>
      <c r="AG46" s="504" t="str">
        <f>Ergebniseingabe!AH50</f>
        <v>1:2</v>
      </c>
      <c r="AH46" s="504"/>
      <c r="AI46" s="505"/>
      <c r="AJ46" s="628"/>
      <c r="AK46" s="629"/>
      <c r="AL46" s="630"/>
      <c r="AM46" s="548" t="str">
        <f>Ergebniseingabe!AN50</f>
        <v>2:1</v>
      </c>
      <c r="AN46" s="549"/>
      <c r="AO46" s="555"/>
      <c r="AP46" s="567" t="str">
        <f>Ergebniseingabe!AQ50</f>
        <v>3:0</v>
      </c>
      <c r="AQ46" s="504"/>
      <c r="AR46" s="504"/>
      <c r="AS46" s="504">
        <f>Ergebniseingabe!AT50</f>
        <v>3</v>
      </c>
      <c r="AT46" s="504"/>
      <c r="AU46" s="505"/>
      <c r="AV46" s="529">
        <f>Ergebniseingabe!AW50</f>
        <v>2</v>
      </c>
      <c r="AW46" s="529"/>
      <c r="AX46" s="529"/>
      <c r="AY46" s="529">
        <f>Ergebniseingabe!AZ50</f>
        <v>0</v>
      </c>
      <c r="AZ46" s="529"/>
      <c r="BA46" s="529"/>
      <c r="BB46" s="529">
        <f>Ergebniseingabe!BC50</f>
        <v>1</v>
      </c>
      <c r="BC46" s="529"/>
      <c r="BD46" s="529"/>
      <c r="BE46" s="549">
        <f>Ergebniseingabe!BF50</f>
        <v>6</v>
      </c>
      <c r="BF46" s="549"/>
      <c r="BG46" s="80" t="str">
        <f>Ergebniseingabe!BH50</f>
        <v>:</v>
      </c>
      <c r="BH46" s="555">
        <f>Ergebniseingabe!BI50</f>
        <v>3</v>
      </c>
      <c r="BI46" s="529"/>
      <c r="BJ46" s="551">
        <f>Ergebniseingabe!BK50</f>
        <v>3</v>
      </c>
      <c r="BK46" s="551"/>
      <c r="BL46" s="552"/>
      <c r="BM46" s="529">
        <f>Ergebniseingabe!BN50</f>
        <v>6</v>
      </c>
      <c r="BN46" s="529"/>
      <c r="BO46" s="567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604">
        <f>IF(Ergebniseingabe!C51="","",Ergebniseingabe!C51)</f>
      </c>
      <c r="C47" s="604"/>
      <c r="D47" s="604"/>
      <c r="E47" s="604"/>
      <c r="F47" s="604">
        <f>IF(Ergebniseingabe!G51="","",Ergebniseingabe!G51)</f>
      </c>
      <c r="G47" s="604"/>
      <c r="H47" s="604"/>
      <c r="J47" s="498">
        <f>Ergebniseingabe!K51</f>
        <v>3</v>
      </c>
      <c r="K47" s="499"/>
      <c r="L47" s="591" t="str">
        <f>Ergebniseingabe!M51</f>
        <v>Jahngymnasium</v>
      </c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04" t="str">
        <f>Ergebniseingabe!AH51</f>
        <v>1:2</v>
      </c>
      <c r="AH47" s="504"/>
      <c r="AI47" s="505"/>
      <c r="AJ47" s="548" t="str">
        <f>Ergebniseingabe!AK51</f>
        <v>1:2</v>
      </c>
      <c r="AK47" s="549"/>
      <c r="AL47" s="555"/>
      <c r="AM47" s="628"/>
      <c r="AN47" s="629"/>
      <c r="AO47" s="630"/>
      <c r="AP47" s="567" t="str">
        <f>Ergebniseingabe!AQ51</f>
        <v>2:1</v>
      </c>
      <c r="AQ47" s="504"/>
      <c r="AR47" s="504"/>
      <c r="AS47" s="504">
        <f>Ergebniseingabe!AT51</f>
        <v>3</v>
      </c>
      <c r="AT47" s="504"/>
      <c r="AU47" s="505"/>
      <c r="AV47" s="529">
        <f>Ergebniseingabe!AW51</f>
        <v>1</v>
      </c>
      <c r="AW47" s="529"/>
      <c r="AX47" s="529"/>
      <c r="AY47" s="529">
        <f>Ergebniseingabe!AZ51</f>
        <v>0</v>
      </c>
      <c r="AZ47" s="529"/>
      <c r="BA47" s="529"/>
      <c r="BB47" s="529">
        <f>Ergebniseingabe!BC51</f>
        <v>2</v>
      </c>
      <c r="BC47" s="529"/>
      <c r="BD47" s="529"/>
      <c r="BE47" s="549">
        <f>Ergebniseingabe!BF51</f>
        <v>4</v>
      </c>
      <c r="BF47" s="549"/>
      <c r="BG47" s="80" t="str">
        <f>Ergebniseingabe!BH51</f>
        <v>:</v>
      </c>
      <c r="BH47" s="555">
        <f>Ergebniseingabe!BI51</f>
        <v>5</v>
      </c>
      <c r="BI47" s="529"/>
      <c r="BJ47" s="551">
        <f>Ergebniseingabe!BK51</f>
        <v>-1</v>
      </c>
      <c r="BK47" s="551"/>
      <c r="BL47" s="552"/>
      <c r="BM47" s="529">
        <f>Ergebniseingabe!BN51</f>
        <v>3</v>
      </c>
      <c r="BN47" s="529"/>
      <c r="BO47" s="567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604">
        <f>IF(Ergebniseingabe!C52="","",Ergebniseingabe!C52)</f>
      </c>
      <c r="C48" s="604"/>
      <c r="D48" s="604"/>
      <c r="E48" s="604"/>
      <c r="F48" s="604">
        <f>IF(Ergebniseingabe!G52="","",Ergebniseingabe!G52)</f>
      </c>
      <c r="G48" s="604"/>
      <c r="H48" s="604"/>
      <c r="J48" s="495">
        <f>Ergebniseingabe!K52</f>
        <v>4</v>
      </c>
      <c r="K48" s="496"/>
      <c r="L48" s="600" t="str">
        <f>Ergebniseingabe!M52</f>
        <v>Regine Hildebrand GS Birkenwerder II</v>
      </c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523" t="str">
        <f>Ergebniseingabe!AH52</f>
        <v>0:3</v>
      </c>
      <c r="AH48" s="523"/>
      <c r="AI48" s="524"/>
      <c r="AJ48" s="527" t="str">
        <f>Ergebniseingabe!AK52</f>
        <v>0:3</v>
      </c>
      <c r="AK48" s="528"/>
      <c r="AL48" s="525"/>
      <c r="AM48" s="527" t="str">
        <f>Ergebniseingabe!AN52</f>
        <v>1:2</v>
      </c>
      <c r="AN48" s="528"/>
      <c r="AO48" s="525"/>
      <c r="AP48" s="593"/>
      <c r="AQ48" s="594"/>
      <c r="AR48" s="594"/>
      <c r="AS48" s="523">
        <f>Ergebniseingabe!AT52</f>
        <v>3</v>
      </c>
      <c r="AT48" s="523"/>
      <c r="AU48" s="524"/>
      <c r="AV48" s="526">
        <f>Ergebniseingabe!AW52</f>
        <v>0</v>
      </c>
      <c r="AW48" s="526"/>
      <c r="AX48" s="526"/>
      <c r="AY48" s="526">
        <f>Ergebniseingabe!AZ52</f>
        <v>0</v>
      </c>
      <c r="AZ48" s="526"/>
      <c r="BA48" s="526"/>
      <c r="BB48" s="526">
        <f>Ergebniseingabe!BC52</f>
        <v>3</v>
      </c>
      <c r="BC48" s="526"/>
      <c r="BD48" s="526"/>
      <c r="BE48" s="528">
        <f>Ergebniseingabe!BF52</f>
        <v>1</v>
      </c>
      <c r="BF48" s="528"/>
      <c r="BG48" s="81" t="str">
        <f>Ergebniseingabe!BH52</f>
        <v>:</v>
      </c>
      <c r="BH48" s="525">
        <f>Ergebniseingabe!BI52</f>
        <v>8</v>
      </c>
      <c r="BI48" s="526"/>
      <c r="BJ48" s="521">
        <f>Ergebniseingabe!BK52</f>
        <v>-7</v>
      </c>
      <c r="BK48" s="521"/>
      <c r="BL48" s="522"/>
      <c r="BM48" s="526">
        <f>Ergebniseingabe!BN52</f>
        <v>0</v>
      </c>
      <c r="BN48" s="526"/>
      <c r="BO48" s="559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569" t="str">
        <f>L58</f>
        <v>Regine Hildebrand Birkenwerder I</v>
      </c>
      <c r="AH50" s="570"/>
      <c r="AI50" s="571"/>
      <c r="AJ50" s="583" t="str">
        <f>L59</f>
        <v>Runge Gymnasium Oranienburg</v>
      </c>
      <c r="AK50" s="570"/>
      <c r="AL50" s="571"/>
      <c r="AM50" s="583" t="str">
        <f>L60</f>
        <v>MCG Hohen Neuendorf 2</v>
      </c>
      <c r="AN50" s="570"/>
      <c r="AO50" s="571"/>
      <c r="AP50" s="583" t="str">
        <f>L61</f>
        <v>Bürgelschule Rathenow 2</v>
      </c>
      <c r="AQ50" s="570"/>
      <c r="AR50" s="584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572"/>
      <c r="AH51" s="573"/>
      <c r="AI51" s="574"/>
      <c r="AJ51" s="585"/>
      <c r="AK51" s="573"/>
      <c r="AL51" s="574"/>
      <c r="AM51" s="585"/>
      <c r="AN51" s="573"/>
      <c r="AO51" s="574"/>
      <c r="AP51" s="585"/>
      <c r="AQ51" s="573"/>
      <c r="AR51" s="586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572"/>
      <c r="AH52" s="573"/>
      <c r="AI52" s="574"/>
      <c r="AJ52" s="585"/>
      <c r="AK52" s="573"/>
      <c r="AL52" s="574"/>
      <c r="AM52" s="585"/>
      <c r="AN52" s="573"/>
      <c r="AO52" s="574"/>
      <c r="AP52" s="585"/>
      <c r="AQ52" s="573"/>
      <c r="AR52" s="586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572"/>
      <c r="AH53" s="573"/>
      <c r="AI53" s="574"/>
      <c r="AJ53" s="585"/>
      <c r="AK53" s="573"/>
      <c r="AL53" s="574"/>
      <c r="AM53" s="585"/>
      <c r="AN53" s="573"/>
      <c r="AO53" s="574"/>
      <c r="AP53" s="585"/>
      <c r="AQ53" s="573"/>
      <c r="AR53" s="586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572"/>
      <c r="AH54" s="573"/>
      <c r="AI54" s="574"/>
      <c r="AJ54" s="585"/>
      <c r="AK54" s="573"/>
      <c r="AL54" s="574"/>
      <c r="AM54" s="585"/>
      <c r="AN54" s="573"/>
      <c r="AO54" s="574"/>
      <c r="AP54" s="585"/>
      <c r="AQ54" s="573"/>
      <c r="AR54" s="586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572"/>
      <c r="AH55" s="573"/>
      <c r="AI55" s="574"/>
      <c r="AJ55" s="585"/>
      <c r="AK55" s="573"/>
      <c r="AL55" s="574"/>
      <c r="AM55" s="585"/>
      <c r="AN55" s="573"/>
      <c r="AO55" s="574"/>
      <c r="AP55" s="585"/>
      <c r="AQ55" s="573"/>
      <c r="AR55" s="586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474" t="s">
        <v>16</v>
      </c>
      <c r="C56" s="475"/>
      <c r="D56" s="475"/>
      <c r="E56" s="475"/>
      <c r="F56" s="475"/>
      <c r="G56" s="475"/>
      <c r="H56" s="476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572"/>
      <c r="AH56" s="573"/>
      <c r="AI56" s="574"/>
      <c r="AJ56" s="585"/>
      <c r="AK56" s="573"/>
      <c r="AL56" s="574"/>
      <c r="AM56" s="585"/>
      <c r="AN56" s="573"/>
      <c r="AO56" s="574"/>
      <c r="AP56" s="585"/>
      <c r="AQ56" s="573"/>
      <c r="AR56" s="586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605" t="s">
        <v>17</v>
      </c>
      <c r="C57" s="606"/>
      <c r="D57" s="606"/>
      <c r="E57" s="607"/>
      <c r="F57" s="605" t="s">
        <v>18</v>
      </c>
      <c r="G57" s="606"/>
      <c r="H57" s="607"/>
      <c r="J57" s="597" t="str">
        <f>Ergebniseingabe!K61</f>
        <v>Gruppe B</v>
      </c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9"/>
      <c r="AG57" s="575"/>
      <c r="AH57" s="576"/>
      <c r="AI57" s="577"/>
      <c r="AJ57" s="587"/>
      <c r="AK57" s="576"/>
      <c r="AL57" s="577"/>
      <c r="AM57" s="587"/>
      <c r="AN57" s="576"/>
      <c r="AO57" s="577"/>
      <c r="AP57" s="587"/>
      <c r="AQ57" s="576"/>
      <c r="AR57" s="588"/>
      <c r="AS57" s="568" t="s">
        <v>19</v>
      </c>
      <c r="AT57" s="560"/>
      <c r="AU57" s="560"/>
      <c r="AV57" s="560" t="s">
        <v>20</v>
      </c>
      <c r="AW57" s="560"/>
      <c r="AX57" s="560"/>
      <c r="AY57" s="560" t="s">
        <v>21</v>
      </c>
      <c r="AZ57" s="560"/>
      <c r="BA57" s="560"/>
      <c r="BB57" s="560" t="s">
        <v>22</v>
      </c>
      <c r="BC57" s="560"/>
      <c r="BD57" s="560"/>
      <c r="BE57" s="560" t="s">
        <v>23</v>
      </c>
      <c r="BF57" s="560"/>
      <c r="BG57" s="560"/>
      <c r="BH57" s="560"/>
      <c r="BI57" s="560"/>
      <c r="BJ57" s="560" t="s">
        <v>24</v>
      </c>
      <c r="BK57" s="560"/>
      <c r="BL57" s="561"/>
      <c r="BM57" s="560" t="s">
        <v>25</v>
      </c>
      <c r="BN57" s="560"/>
      <c r="BO57" s="56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501">
        <f>IF(Ergebniseingabe!C62="","",Ergebniseingabe!C62)</f>
      </c>
      <c r="C58" s="501"/>
      <c r="D58" s="501"/>
      <c r="E58" s="501"/>
      <c r="F58" s="501">
        <f>IF(Ergebniseingabe!G62="","",Ergebniseingabe!G62)</f>
      </c>
      <c r="G58" s="501"/>
      <c r="H58" s="501"/>
      <c r="J58" s="595">
        <f>Ergebniseingabe!K62</f>
        <v>1</v>
      </c>
      <c r="K58" s="596"/>
      <c r="L58" s="633" t="str">
        <f>Ergebniseingabe!M62</f>
        <v>Regine Hildebrand Birkenwerder I</v>
      </c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634"/>
      <c r="AC58" s="634"/>
      <c r="AD58" s="634"/>
      <c r="AE58" s="634"/>
      <c r="AF58" s="634"/>
      <c r="AG58" s="631"/>
      <c r="AH58" s="631"/>
      <c r="AI58" s="632"/>
      <c r="AJ58" s="544" t="str">
        <f>Ergebniseingabe!AK62</f>
        <v>3:0</v>
      </c>
      <c r="AK58" s="544"/>
      <c r="AL58" s="544"/>
      <c r="AM58" s="544" t="str">
        <f>Ergebniseingabe!AN62</f>
        <v>2:1</v>
      </c>
      <c r="AN58" s="544"/>
      <c r="AO58" s="544"/>
      <c r="AP58" s="566" t="str">
        <f>Ergebniseingabe!AQ62</f>
        <v>1:2</v>
      </c>
      <c r="AQ58" s="542"/>
      <c r="AR58" s="542"/>
      <c r="AS58" s="542">
        <f>Ergebniseingabe!AT62</f>
        <v>3</v>
      </c>
      <c r="AT58" s="542"/>
      <c r="AU58" s="543"/>
      <c r="AV58" s="556">
        <f>Ergebniseingabe!AW62</f>
        <v>2</v>
      </c>
      <c r="AW58" s="557"/>
      <c r="AX58" s="558"/>
      <c r="AY58" s="556">
        <f>Ergebniseingabe!AZ62</f>
        <v>0</v>
      </c>
      <c r="AZ58" s="557"/>
      <c r="BA58" s="558"/>
      <c r="BB58" s="556">
        <f>Ergebniseingabe!BC62</f>
        <v>1</v>
      </c>
      <c r="BC58" s="557"/>
      <c r="BD58" s="558"/>
      <c r="BE58" s="557">
        <f>Ergebniseingabe!BF62</f>
        <v>6</v>
      </c>
      <c r="BF58" s="557"/>
      <c r="BG58" s="79" t="str">
        <f>Ergebniseingabe!BH62</f>
        <v>:</v>
      </c>
      <c r="BH58" s="558">
        <f>Ergebniseingabe!BI62</f>
        <v>3</v>
      </c>
      <c r="BI58" s="544"/>
      <c r="BJ58" s="553">
        <f>Ergebniseingabe!BK62</f>
        <v>3</v>
      </c>
      <c r="BK58" s="553"/>
      <c r="BL58" s="554"/>
      <c r="BM58" s="556">
        <f>Ergebniseingabe!BN62</f>
        <v>6</v>
      </c>
      <c r="BN58" s="557"/>
      <c r="BO58" s="563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501">
        <f>IF(Ergebniseingabe!C63="","",Ergebniseingabe!C63)</f>
      </c>
      <c r="C59" s="501"/>
      <c r="D59" s="501"/>
      <c r="E59" s="501"/>
      <c r="F59" s="501">
        <f>IF(Ergebniseingabe!G63="","",Ergebniseingabe!G63)</f>
      </c>
      <c r="G59" s="501"/>
      <c r="H59" s="501"/>
      <c r="J59" s="498">
        <f>Ergebniseingabe!K63</f>
        <v>2</v>
      </c>
      <c r="K59" s="499"/>
      <c r="L59" s="591" t="str">
        <f>Ergebniseingabe!M63</f>
        <v>Runge Gymnasium Oranienburg</v>
      </c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04" t="str">
        <f>Ergebniseingabe!AH63</f>
        <v>0:3</v>
      </c>
      <c r="AH59" s="504"/>
      <c r="AI59" s="505"/>
      <c r="AJ59" s="590"/>
      <c r="AK59" s="590"/>
      <c r="AL59" s="590"/>
      <c r="AM59" s="529" t="str">
        <f>Ergebniseingabe!AN63</f>
        <v>2:1</v>
      </c>
      <c r="AN59" s="529"/>
      <c r="AO59" s="529"/>
      <c r="AP59" s="567" t="str">
        <f>Ergebniseingabe!AQ63</f>
        <v>2:1</v>
      </c>
      <c r="AQ59" s="504"/>
      <c r="AR59" s="504"/>
      <c r="AS59" s="504">
        <f>Ergebniseingabe!AT63</f>
        <v>3</v>
      </c>
      <c r="AT59" s="504"/>
      <c r="AU59" s="505"/>
      <c r="AV59" s="548">
        <f>Ergebniseingabe!AW63</f>
        <v>2</v>
      </c>
      <c r="AW59" s="549"/>
      <c r="AX59" s="555"/>
      <c r="AY59" s="548">
        <f>Ergebniseingabe!AZ63</f>
        <v>0</v>
      </c>
      <c r="AZ59" s="549"/>
      <c r="BA59" s="555"/>
      <c r="BB59" s="548">
        <f>Ergebniseingabe!BC63</f>
        <v>1</v>
      </c>
      <c r="BC59" s="549"/>
      <c r="BD59" s="555"/>
      <c r="BE59" s="549">
        <f>Ergebniseingabe!BF63</f>
        <v>4</v>
      </c>
      <c r="BF59" s="549"/>
      <c r="BG59" s="80" t="str">
        <f>Ergebniseingabe!BH63</f>
        <v>:</v>
      </c>
      <c r="BH59" s="555">
        <f>Ergebniseingabe!BI63</f>
        <v>5</v>
      </c>
      <c r="BI59" s="529"/>
      <c r="BJ59" s="551">
        <f>Ergebniseingabe!BK63</f>
        <v>-1</v>
      </c>
      <c r="BK59" s="551"/>
      <c r="BL59" s="552"/>
      <c r="BM59" s="548">
        <f>Ergebniseingabe!BN63</f>
        <v>6</v>
      </c>
      <c r="BN59" s="549"/>
      <c r="BO59" s="55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501">
        <f>IF(Ergebniseingabe!C64="","",Ergebniseingabe!C64)</f>
      </c>
      <c r="C60" s="501"/>
      <c r="D60" s="501"/>
      <c r="E60" s="501"/>
      <c r="F60" s="501">
        <f>IF(Ergebniseingabe!G64="","",Ergebniseingabe!G64)</f>
      </c>
      <c r="G60" s="501"/>
      <c r="H60" s="501"/>
      <c r="J60" s="498">
        <f>Ergebniseingabe!K64</f>
        <v>3</v>
      </c>
      <c r="K60" s="499"/>
      <c r="L60" s="591" t="str">
        <f>Ergebniseingabe!M64</f>
        <v>MCG Hohen Neuendorf 2</v>
      </c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92"/>
      <c r="AD60" s="592"/>
      <c r="AE60" s="592"/>
      <c r="AF60" s="592"/>
      <c r="AG60" s="504" t="str">
        <f>Ergebniseingabe!AH64</f>
        <v>1:2</v>
      </c>
      <c r="AH60" s="504"/>
      <c r="AI60" s="505"/>
      <c r="AJ60" s="529" t="str">
        <f>Ergebniseingabe!AK64</f>
        <v>1:2</v>
      </c>
      <c r="AK60" s="529"/>
      <c r="AL60" s="529"/>
      <c r="AM60" s="590"/>
      <c r="AN60" s="590"/>
      <c r="AO60" s="590"/>
      <c r="AP60" s="567" t="str">
        <f>Ergebniseingabe!AQ64</f>
        <v>3:0</v>
      </c>
      <c r="AQ60" s="504"/>
      <c r="AR60" s="504"/>
      <c r="AS60" s="504">
        <f>Ergebniseingabe!AT64</f>
        <v>3</v>
      </c>
      <c r="AT60" s="504"/>
      <c r="AU60" s="505"/>
      <c r="AV60" s="548">
        <f>Ergebniseingabe!AW64</f>
        <v>1</v>
      </c>
      <c r="AW60" s="549"/>
      <c r="AX60" s="555"/>
      <c r="AY60" s="548">
        <f>Ergebniseingabe!AZ64</f>
        <v>0</v>
      </c>
      <c r="AZ60" s="549"/>
      <c r="BA60" s="555"/>
      <c r="BB60" s="548">
        <f>Ergebniseingabe!BC64</f>
        <v>2</v>
      </c>
      <c r="BC60" s="549"/>
      <c r="BD60" s="555"/>
      <c r="BE60" s="549">
        <f>Ergebniseingabe!BF64</f>
        <v>5</v>
      </c>
      <c r="BF60" s="549"/>
      <c r="BG60" s="80" t="str">
        <f>Ergebniseingabe!BH64</f>
        <v>:</v>
      </c>
      <c r="BH60" s="555">
        <f>Ergebniseingabe!BI64</f>
        <v>4</v>
      </c>
      <c r="BI60" s="529"/>
      <c r="BJ60" s="551">
        <f>Ergebniseingabe!BK64</f>
        <v>1</v>
      </c>
      <c r="BK60" s="551"/>
      <c r="BL60" s="552"/>
      <c r="BM60" s="548">
        <f>Ergebniseingabe!BN64</f>
        <v>3</v>
      </c>
      <c r="BN60" s="549"/>
      <c r="BO60" s="55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501">
        <f>IF(Ergebniseingabe!C65="","",Ergebniseingabe!C65)</f>
      </c>
      <c r="C61" s="501"/>
      <c r="D61" s="501"/>
      <c r="E61" s="501"/>
      <c r="F61" s="501">
        <f>IF(Ergebniseingabe!G65="","",Ergebniseingabe!G65)</f>
      </c>
      <c r="G61" s="501"/>
      <c r="H61" s="501"/>
      <c r="J61" s="495">
        <f>Ergebniseingabe!K65</f>
        <v>4</v>
      </c>
      <c r="K61" s="496"/>
      <c r="L61" s="600" t="str">
        <f>Ergebniseingabe!M65</f>
        <v>Bürgelschule Rathenow 2</v>
      </c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523" t="str">
        <f>Ergebniseingabe!AH65</f>
        <v>2:1</v>
      </c>
      <c r="AH61" s="523"/>
      <c r="AI61" s="524"/>
      <c r="AJ61" s="526" t="str">
        <f>Ergebniseingabe!AK65</f>
        <v>1:2</v>
      </c>
      <c r="AK61" s="526"/>
      <c r="AL61" s="526"/>
      <c r="AM61" s="526" t="str">
        <f>Ergebniseingabe!AN65</f>
        <v>0:3</v>
      </c>
      <c r="AN61" s="526"/>
      <c r="AO61" s="526"/>
      <c r="AP61" s="593"/>
      <c r="AQ61" s="594"/>
      <c r="AR61" s="594"/>
      <c r="AS61" s="523">
        <f>Ergebniseingabe!AT65</f>
        <v>3</v>
      </c>
      <c r="AT61" s="523"/>
      <c r="AU61" s="524"/>
      <c r="AV61" s="527">
        <f>Ergebniseingabe!AW65</f>
        <v>1</v>
      </c>
      <c r="AW61" s="528"/>
      <c r="AX61" s="525"/>
      <c r="AY61" s="527">
        <f>Ergebniseingabe!AZ65</f>
        <v>0</v>
      </c>
      <c r="AZ61" s="528"/>
      <c r="BA61" s="525"/>
      <c r="BB61" s="527">
        <f>Ergebniseingabe!BC65</f>
        <v>2</v>
      </c>
      <c r="BC61" s="528"/>
      <c r="BD61" s="525"/>
      <c r="BE61" s="528">
        <f>Ergebniseingabe!BF65</f>
        <v>3</v>
      </c>
      <c r="BF61" s="528"/>
      <c r="BG61" s="81" t="str">
        <f>Ergebniseingabe!BH65</f>
        <v>:</v>
      </c>
      <c r="BH61" s="525">
        <f>Ergebniseingabe!BI65</f>
        <v>6</v>
      </c>
      <c r="BI61" s="526"/>
      <c r="BJ61" s="521">
        <f>Ergebniseingabe!BK65</f>
        <v>-3</v>
      </c>
      <c r="BK61" s="521"/>
      <c r="BL61" s="522"/>
      <c r="BM61" s="527">
        <f>Ergebniseingabe!BN65</f>
        <v>3</v>
      </c>
      <c r="BN61" s="528"/>
      <c r="BO61" s="58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Regionalfinale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.75">
      <c r="B65" s="425" t="str">
        <f>$B$3</f>
        <v>Beach Volleyball Premnitz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.7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608">
        <f>B6</f>
        <v>44818</v>
      </c>
      <c r="C69" s="608"/>
      <c r="D69" s="608"/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8"/>
      <c r="AH69" s="608"/>
      <c r="AI69" s="608"/>
      <c r="AJ69" s="608"/>
      <c r="AK69" s="608"/>
      <c r="AL69" s="608"/>
      <c r="AM69" s="608"/>
      <c r="AN69" s="608"/>
      <c r="AO69" s="608"/>
      <c r="AP69" s="608"/>
      <c r="AQ69" s="608"/>
      <c r="AR69" s="608"/>
      <c r="AS69" s="608"/>
      <c r="AT69" s="608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.7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502">
        <f>Ergebniseingabe!H70</f>
        <v>0.5319444444444447</v>
      </c>
      <c r="H71" s="502"/>
      <c r="I71" s="502"/>
      <c r="J71" s="502"/>
      <c r="K71" s="95" t="s">
        <v>0</v>
      </c>
      <c r="S71" s="100" t="s">
        <v>1</v>
      </c>
      <c r="T71" s="503">
        <f>Ergebniseingabe!U70</f>
        <v>1</v>
      </c>
      <c r="U71" s="503"/>
      <c r="V71" s="101" t="s">
        <v>2</v>
      </c>
      <c r="W71" s="500">
        <f>Ergebniseingabe!X70</f>
        <v>10</v>
      </c>
      <c r="X71" s="500"/>
      <c r="Y71" s="500"/>
      <c r="Z71" s="500"/>
      <c r="AA71" s="500"/>
      <c r="AB71" s="497">
        <f>Ergebniseingabe!AC70</f>
      </c>
      <c r="AC71" s="497"/>
      <c r="AD71" s="497"/>
      <c r="AE71" s="497"/>
      <c r="AF71" s="497"/>
      <c r="AG71" s="497"/>
      <c r="AH71" s="500">
        <f>Ergebniseingabe!AI70</f>
        <v>0</v>
      </c>
      <c r="AI71" s="500"/>
      <c r="AJ71" s="500"/>
      <c r="AK71" s="500"/>
      <c r="AL71" s="500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83">
        <f>Ergebniseingabe!AW70</f>
        <v>3</v>
      </c>
      <c r="AW71" s="483"/>
      <c r="AX71" s="483"/>
      <c r="AY71" s="483"/>
      <c r="AZ71" s="483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9" t="s">
        <v>9</v>
      </c>
      <c r="C73" s="460"/>
      <c r="D73" s="460" t="s">
        <v>63</v>
      </c>
      <c r="E73" s="460"/>
      <c r="F73" s="460"/>
      <c r="G73" s="460"/>
      <c r="H73" s="444" t="s">
        <v>27</v>
      </c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6"/>
      <c r="AY73" s="460" t="s">
        <v>12</v>
      </c>
      <c r="AZ73" s="460"/>
      <c r="BA73" s="460"/>
      <c r="BB73" s="460"/>
      <c r="BC73" s="444"/>
      <c r="BD73" s="635"/>
      <c r="BE73" s="445"/>
      <c r="BF73" s="445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602">
        <f>Ergebniseingabe!E73</f>
        <v>0.5319444444444447</v>
      </c>
      <c r="E74" s="602"/>
      <c r="F74" s="602"/>
      <c r="G74" s="602"/>
      <c r="H74" s="452" t="str">
        <f>Ergebniseingabe!I73</f>
        <v>MCG Hohen Neuendorf 1</v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 t="str">
        <f>Ergebniseingabe!AE73</f>
        <v>Runge Gymnasium Oranienburg</v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79">
        <f>IF(Ergebniseingabe!AZ73="","",Ergebniseingabe!AZ73)</f>
        <v>2</v>
      </c>
      <c r="AZ74" s="579"/>
      <c r="BA74" s="580"/>
      <c r="BB74" s="578">
        <f>IF(Ergebniseingabe!BC73="","",Ergebniseingabe!BC73)</f>
        <v>1</v>
      </c>
      <c r="BC74" s="578"/>
      <c r="BD74" s="611">
        <f>IF(Ergebniseingabe!BE73="","",Ergebniseingabe!BE73)</f>
      </c>
      <c r="BE74" s="512"/>
      <c r="BF74" s="512"/>
      <c r="BG74" s="513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2" customHeight="1" thickBot="1">
      <c r="B75" s="449"/>
      <c r="C75" s="450"/>
      <c r="D75" s="603"/>
      <c r="E75" s="603"/>
      <c r="F75" s="603"/>
      <c r="G75" s="603"/>
      <c r="H75" s="456" t="s">
        <v>28</v>
      </c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111"/>
      <c r="AD75" s="439" t="s">
        <v>29</v>
      </c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39"/>
      <c r="AU75" s="439"/>
      <c r="AV75" s="439"/>
      <c r="AW75" s="439"/>
      <c r="AX75" s="440"/>
      <c r="AY75" s="581"/>
      <c r="AZ75" s="581"/>
      <c r="BA75" s="581"/>
      <c r="BB75" s="581"/>
      <c r="BC75" s="582"/>
      <c r="BD75" s="616"/>
      <c r="BE75" s="617"/>
      <c r="BF75" s="617"/>
      <c r="BG75" s="618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9" t="s">
        <v>9</v>
      </c>
      <c r="C77" s="460"/>
      <c r="D77" s="460" t="s">
        <v>63</v>
      </c>
      <c r="E77" s="460"/>
      <c r="F77" s="460"/>
      <c r="G77" s="460"/>
      <c r="H77" s="444" t="s">
        <v>30</v>
      </c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5"/>
      <c r="AL77" s="445"/>
      <c r="AM77" s="445"/>
      <c r="AN77" s="445"/>
      <c r="AO77" s="445"/>
      <c r="AP77" s="445"/>
      <c r="AQ77" s="445"/>
      <c r="AR77" s="445"/>
      <c r="AS77" s="445"/>
      <c r="AT77" s="445"/>
      <c r="AU77" s="445"/>
      <c r="AV77" s="445"/>
      <c r="AW77" s="445"/>
      <c r="AX77" s="446"/>
      <c r="AY77" s="460" t="s">
        <v>12</v>
      </c>
      <c r="AZ77" s="460"/>
      <c r="BA77" s="460"/>
      <c r="BB77" s="460"/>
      <c r="BC77" s="444"/>
      <c r="BD77" s="635"/>
      <c r="BE77" s="445"/>
      <c r="BF77" s="445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602">
        <f>Ergebniseingabe!E77</f>
        <v>0.5409722222222224</v>
      </c>
      <c r="E78" s="602"/>
      <c r="F78" s="602"/>
      <c r="G78" s="602"/>
      <c r="H78" s="452" t="str">
        <f>Ergebniseingabe!I77</f>
        <v>Regine Hildebrand Birkenwerder I</v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 t="str">
        <f>Ergebniseingabe!AE77</f>
        <v>Bürgelschule Rathenow 1</v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79">
        <f>IF(Ergebniseingabe!AZ77="","",Ergebniseingabe!AZ77)</f>
        <v>1</v>
      </c>
      <c r="AZ78" s="579"/>
      <c r="BA78" s="580"/>
      <c r="BB78" s="578">
        <f>IF(Ergebniseingabe!BC77="","",Ergebniseingabe!BC77)</f>
        <v>2</v>
      </c>
      <c r="BC78" s="578"/>
      <c r="BD78" s="611">
        <f>IF(Ergebniseingabe!BE77="","",Ergebniseingabe!BE77)</f>
      </c>
      <c r="BE78" s="512"/>
      <c r="BF78" s="512"/>
      <c r="BG78" s="513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2" customHeight="1" thickBot="1">
      <c r="B79" s="449"/>
      <c r="C79" s="450"/>
      <c r="D79" s="603"/>
      <c r="E79" s="603"/>
      <c r="F79" s="603"/>
      <c r="G79" s="603"/>
      <c r="H79" s="456" t="s">
        <v>31</v>
      </c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111"/>
      <c r="AD79" s="439" t="s">
        <v>32</v>
      </c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  <c r="AT79" s="439"/>
      <c r="AU79" s="439"/>
      <c r="AV79" s="439"/>
      <c r="AW79" s="439"/>
      <c r="AX79" s="440"/>
      <c r="AY79" s="581"/>
      <c r="AZ79" s="581"/>
      <c r="BA79" s="581"/>
      <c r="BB79" s="581"/>
      <c r="BC79" s="582"/>
      <c r="BD79" s="616"/>
      <c r="BE79" s="617"/>
      <c r="BF79" s="617"/>
      <c r="BG79" s="618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609" t="s">
        <v>9</v>
      </c>
      <c r="C81" s="610"/>
      <c r="D81" s="610" t="s">
        <v>63</v>
      </c>
      <c r="E81" s="610"/>
      <c r="F81" s="610"/>
      <c r="G81" s="610"/>
      <c r="H81" s="441" t="s">
        <v>33</v>
      </c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2"/>
      <c r="AQ81" s="442"/>
      <c r="AR81" s="442"/>
      <c r="AS81" s="442"/>
      <c r="AT81" s="442"/>
      <c r="AU81" s="442"/>
      <c r="AV81" s="442"/>
      <c r="AW81" s="442"/>
      <c r="AX81" s="443"/>
      <c r="AY81" s="610" t="s">
        <v>12</v>
      </c>
      <c r="AZ81" s="610"/>
      <c r="BA81" s="610"/>
      <c r="BB81" s="610"/>
      <c r="BC81" s="441"/>
      <c r="BD81" s="612"/>
      <c r="BE81" s="442"/>
      <c r="BF81" s="442"/>
      <c r="BG81" s="613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602">
        <f>Ergebniseingabe!E81</f>
        <v>0.5500000000000002</v>
      </c>
      <c r="E82" s="602"/>
      <c r="F82" s="602"/>
      <c r="G82" s="602"/>
      <c r="H82" s="452" t="str">
        <f>Ergebniseingabe!I81</f>
        <v>Regine Hildebrand GS Birkenwerder II</v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 t="str">
        <f>Ergebniseingabe!AE81</f>
        <v>Bürgelschule Rathenow 2</v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79">
        <f>IF(Ergebniseingabe!AZ81="","",Ergebniseingabe!AZ81)</f>
        <v>1</v>
      </c>
      <c r="AZ82" s="579"/>
      <c r="BA82" s="580"/>
      <c r="BB82" s="578">
        <f>IF(Ergebniseingabe!BC81="","",Ergebniseingabe!BC81)</f>
        <v>2</v>
      </c>
      <c r="BC82" s="578"/>
      <c r="BD82" s="611">
        <f>IF(Ergebniseingabe!BE81="","",Ergebniseingabe!BE81)</f>
      </c>
      <c r="BE82" s="512"/>
      <c r="BF82" s="512"/>
      <c r="BG82" s="513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2" customHeight="1" thickBot="1">
      <c r="B83" s="449"/>
      <c r="C83" s="450"/>
      <c r="D83" s="603"/>
      <c r="E83" s="603"/>
      <c r="F83" s="603"/>
      <c r="G83" s="603"/>
      <c r="H83" s="456" t="s">
        <v>34</v>
      </c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111"/>
      <c r="AD83" s="439" t="s">
        <v>35</v>
      </c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40"/>
      <c r="AY83" s="581"/>
      <c r="AZ83" s="581"/>
      <c r="BA83" s="581"/>
      <c r="BB83" s="581"/>
      <c r="BC83" s="582"/>
      <c r="BD83" s="616"/>
      <c r="BE83" s="617"/>
      <c r="BF83" s="617"/>
      <c r="BG83" s="618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609" t="s">
        <v>9</v>
      </c>
      <c r="C85" s="610"/>
      <c r="D85" s="610" t="s">
        <v>63</v>
      </c>
      <c r="E85" s="610"/>
      <c r="F85" s="610"/>
      <c r="G85" s="610"/>
      <c r="H85" s="441" t="s">
        <v>36</v>
      </c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3"/>
      <c r="AY85" s="610" t="s">
        <v>12</v>
      </c>
      <c r="AZ85" s="610"/>
      <c r="BA85" s="610"/>
      <c r="BB85" s="610"/>
      <c r="BC85" s="441"/>
      <c r="BD85" s="612"/>
      <c r="BE85" s="442"/>
      <c r="BF85" s="442"/>
      <c r="BG85" s="613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602">
        <f>Ergebniseingabe!E85</f>
        <v>0.5590277777777779</v>
      </c>
      <c r="E86" s="602"/>
      <c r="F86" s="602"/>
      <c r="G86" s="602"/>
      <c r="H86" s="452" t="str">
        <f>Ergebniseingabe!I85</f>
        <v>Jahngymnasium</v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 t="str">
        <f>Ergebniseingabe!AE85</f>
        <v>MCG Hohen Neuendorf 2</v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79">
        <f>IF(Ergebniseingabe!AZ85="","",Ergebniseingabe!AZ85)</f>
        <v>1</v>
      </c>
      <c r="AZ86" s="579"/>
      <c r="BA86" s="580"/>
      <c r="BB86" s="578">
        <f>IF(Ergebniseingabe!BC85="","",Ergebniseingabe!BC85)</f>
        <v>2</v>
      </c>
      <c r="BC86" s="578"/>
      <c r="BD86" s="611">
        <f>IF(Ergebniseingabe!BE85="","",Ergebniseingabe!BE85)</f>
      </c>
      <c r="BE86" s="512"/>
      <c r="BF86" s="512"/>
      <c r="BG86" s="513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2" customHeight="1" thickBot="1">
      <c r="B87" s="449"/>
      <c r="C87" s="450"/>
      <c r="D87" s="603"/>
      <c r="E87" s="603"/>
      <c r="F87" s="603"/>
      <c r="G87" s="603"/>
      <c r="H87" s="456" t="s">
        <v>37</v>
      </c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111"/>
      <c r="AD87" s="439" t="s">
        <v>38</v>
      </c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  <c r="AP87" s="439"/>
      <c r="AQ87" s="439"/>
      <c r="AR87" s="439"/>
      <c r="AS87" s="439"/>
      <c r="AT87" s="439"/>
      <c r="AU87" s="439"/>
      <c r="AV87" s="439"/>
      <c r="AW87" s="439"/>
      <c r="AX87" s="440"/>
      <c r="AY87" s="581"/>
      <c r="AZ87" s="581"/>
      <c r="BA87" s="581"/>
      <c r="BB87" s="581"/>
      <c r="BC87" s="582"/>
      <c r="BD87" s="616"/>
      <c r="BE87" s="617"/>
      <c r="BF87" s="617"/>
      <c r="BG87" s="618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57" t="s">
        <v>9</v>
      </c>
      <c r="C89" s="458"/>
      <c r="D89" s="458" t="s">
        <v>63</v>
      </c>
      <c r="E89" s="458"/>
      <c r="F89" s="458"/>
      <c r="G89" s="458"/>
      <c r="H89" s="453" t="s">
        <v>39</v>
      </c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5"/>
      <c r="AY89" s="458" t="s">
        <v>12</v>
      </c>
      <c r="AZ89" s="458"/>
      <c r="BA89" s="458"/>
      <c r="BB89" s="458"/>
      <c r="BC89" s="453"/>
      <c r="BD89" s="619"/>
      <c r="BE89" s="454"/>
      <c r="BF89" s="454"/>
      <c r="BG89" s="620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602">
        <f>Ergebniseingabe!E89</f>
        <v>0.5680555555555556</v>
      </c>
      <c r="E90" s="602"/>
      <c r="F90" s="602"/>
      <c r="G90" s="602"/>
      <c r="H90" s="452" t="str">
        <f>Ergebniseingabe!I89</f>
        <v>Runge Gymnasium Oranienburg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Regine Hildebrand Birkenwerder I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79">
        <f>IF(Ergebniseingabe!AZ89="","",Ergebniseingabe!AZ89)</f>
        <v>1</v>
      </c>
      <c r="AZ90" s="579"/>
      <c r="BA90" s="580"/>
      <c r="BB90" s="578">
        <f>IF(Ergebniseingabe!BC89="","",Ergebniseingabe!BC89)</f>
        <v>2</v>
      </c>
      <c r="BC90" s="578"/>
      <c r="BD90" s="611">
        <f>IF(Ergebniseingabe!BE89="","",Ergebniseingabe!BE89)</f>
      </c>
      <c r="BE90" s="512"/>
      <c r="BF90" s="512"/>
      <c r="BG90" s="513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2" customHeight="1" thickBot="1">
      <c r="B91" s="449"/>
      <c r="C91" s="450"/>
      <c r="D91" s="603"/>
      <c r="E91" s="603"/>
      <c r="F91" s="603"/>
      <c r="G91" s="603"/>
      <c r="H91" s="456" t="s">
        <v>40</v>
      </c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111"/>
      <c r="AD91" s="439" t="s">
        <v>41</v>
      </c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40"/>
      <c r="AY91" s="581"/>
      <c r="AZ91" s="581"/>
      <c r="BA91" s="581"/>
      <c r="BB91" s="581"/>
      <c r="BC91" s="582"/>
      <c r="BD91" s="616"/>
      <c r="BE91" s="617"/>
      <c r="BF91" s="617"/>
      <c r="BG91" s="618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57" t="s">
        <v>9</v>
      </c>
      <c r="C93" s="458"/>
      <c r="D93" s="458" t="s">
        <v>63</v>
      </c>
      <c r="E93" s="458"/>
      <c r="F93" s="458"/>
      <c r="G93" s="458"/>
      <c r="H93" s="453" t="s">
        <v>42</v>
      </c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5"/>
      <c r="AY93" s="458" t="s">
        <v>12</v>
      </c>
      <c r="AZ93" s="458"/>
      <c r="BA93" s="458"/>
      <c r="BB93" s="458"/>
      <c r="BC93" s="453"/>
      <c r="BD93" s="619"/>
      <c r="BE93" s="454"/>
      <c r="BF93" s="454"/>
      <c r="BG93" s="620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602">
        <f>Ergebniseingabe!E93</f>
        <v>0.5770833333333334</v>
      </c>
      <c r="E94" s="602"/>
      <c r="F94" s="602"/>
      <c r="G94" s="602"/>
      <c r="H94" s="452" t="str">
        <f>Ergebniseingabe!I93</f>
        <v>MCG Hohen Neuendorf 1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Bürgelschule Rathenow 1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79">
        <f>IF(Ergebniseingabe!AZ93="","",Ergebniseingabe!AZ93)</f>
        <v>1</v>
      </c>
      <c r="AZ94" s="579"/>
      <c r="BA94" s="580"/>
      <c r="BB94" s="578">
        <f>IF(Ergebniseingabe!BC93="","",Ergebniseingabe!BC93)</f>
        <v>2</v>
      </c>
      <c r="BC94" s="578"/>
      <c r="BD94" s="611">
        <f>IF(Ergebniseingabe!BE93="","",Ergebniseingabe!BE93)</f>
      </c>
      <c r="BE94" s="512"/>
      <c r="BF94" s="512"/>
      <c r="BG94" s="513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2" customHeight="1" thickBot="1">
      <c r="B95" s="449"/>
      <c r="C95" s="450"/>
      <c r="D95" s="603"/>
      <c r="E95" s="603"/>
      <c r="F95" s="603"/>
      <c r="G95" s="603"/>
      <c r="H95" s="456" t="s">
        <v>43</v>
      </c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111"/>
      <c r="AD95" s="439" t="s">
        <v>44</v>
      </c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40"/>
      <c r="AY95" s="581"/>
      <c r="AZ95" s="581"/>
      <c r="BA95" s="581"/>
      <c r="BB95" s="581"/>
      <c r="BC95" s="582"/>
      <c r="BD95" s="616"/>
      <c r="BE95" s="617"/>
      <c r="BF95" s="617"/>
      <c r="BG95" s="618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.7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.7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6.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24" t="s">
        <v>46</v>
      </c>
      <c r="J100" s="625"/>
      <c r="K100" s="615" t="str">
        <f>Ergebniseingabe!L98</f>
        <v>Bürgelschule Rathenow 1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22" t="s">
        <v>47</v>
      </c>
      <c r="J101" s="623"/>
      <c r="K101" s="614" t="str">
        <f>Ergebniseingabe!L99</f>
        <v>MCG Hohen Neuendorf 1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22" t="s">
        <v>48</v>
      </c>
      <c r="J102" s="623"/>
      <c r="K102" s="614" t="str">
        <f>Ergebniseingabe!L100</f>
        <v>Regine Hildebrand Birkenwerder I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22" t="s">
        <v>49</v>
      </c>
      <c r="J103" s="623"/>
      <c r="K103" s="614" t="str">
        <f>Ergebniseingabe!L101</f>
        <v>Runge Gymnasium Oranienburg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22" t="s">
        <v>50</v>
      </c>
      <c r="J104" s="623"/>
      <c r="K104" s="614" t="str">
        <f>Ergebniseingabe!L102</f>
        <v>MCG Hohen Neuendorf 2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22" t="s">
        <v>51</v>
      </c>
      <c r="J105" s="623"/>
      <c r="K105" s="614" t="str">
        <f>Ergebniseingabe!L103</f>
        <v>Jahngymnasium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22" t="s">
        <v>52</v>
      </c>
      <c r="J106" s="623"/>
      <c r="K106" s="614" t="str">
        <f>Ergebniseingabe!L104</f>
        <v>Bürgelschule Rathenow 2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26" t="s">
        <v>53</v>
      </c>
      <c r="J107" s="627"/>
      <c r="K107" s="621" t="str">
        <f>Ergebniseingabe!L105</f>
        <v>Regine Hildebrand GS Birkenwerder II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9" t="s">
        <v>65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20" t="s">
        <v>66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20" t="s">
        <v>67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20" t="s">
        <v>68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18" t="s">
        <v>69</v>
      </c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7" t="s">
        <v>70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7" t="s">
        <v>71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7" t="s">
        <v>72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7" t="s">
        <v>73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J58:K58"/>
    <mergeCell ref="AP45:AR45"/>
    <mergeCell ref="AM45:AO45"/>
    <mergeCell ref="AJ45:AL45"/>
    <mergeCell ref="AG45:AI45"/>
    <mergeCell ref="AJ47:AL47"/>
    <mergeCell ref="AJ46:AL46"/>
    <mergeCell ref="AG48:AI48"/>
    <mergeCell ref="L58:AF58"/>
    <mergeCell ref="AM59:AO59"/>
    <mergeCell ref="AM58:AO58"/>
    <mergeCell ref="AG61:AI61"/>
    <mergeCell ref="AG60:AI60"/>
    <mergeCell ref="AG59:AI59"/>
    <mergeCell ref="AG58:AI58"/>
    <mergeCell ref="AJ58:AL58"/>
    <mergeCell ref="AG47:AI47"/>
    <mergeCell ref="AG46:AI46"/>
    <mergeCell ref="AJ48:AL48"/>
    <mergeCell ref="AP46:AR46"/>
    <mergeCell ref="AM48:AO48"/>
    <mergeCell ref="AM47:AO47"/>
    <mergeCell ref="AM46:AO46"/>
    <mergeCell ref="AP48:AR48"/>
    <mergeCell ref="AP47:AR47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BD82:BG82"/>
    <mergeCell ref="BD81:BG81"/>
    <mergeCell ref="G22:J22"/>
    <mergeCell ref="AY79:BC79"/>
    <mergeCell ref="B65:AT65"/>
    <mergeCell ref="B45:E45"/>
    <mergeCell ref="B61:E61"/>
    <mergeCell ref="B60:E60"/>
    <mergeCell ref="B59:E59"/>
    <mergeCell ref="B58:E58"/>
    <mergeCell ref="B85:C85"/>
    <mergeCell ref="D85:G85"/>
    <mergeCell ref="AY85:BC85"/>
    <mergeCell ref="AY82:BA82"/>
    <mergeCell ref="BB82:BC82"/>
    <mergeCell ref="AY83:BC83"/>
    <mergeCell ref="B82:C83"/>
    <mergeCell ref="D82:G83"/>
    <mergeCell ref="H85:AX85"/>
    <mergeCell ref="AY89:BC89"/>
    <mergeCell ref="AY81:BC81"/>
    <mergeCell ref="AY86:BA86"/>
    <mergeCell ref="BB86:BC86"/>
    <mergeCell ref="AY87:BC87"/>
    <mergeCell ref="AD82:AX82"/>
    <mergeCell ref="H86:AB86"/>
    <mergeCell ref="H82:AB82"/>
    <mergeCell ref="AY90:BA90"/>
    <mergeCell ref="BB94:BC94"/>
    <mergeCell ref="BB90:BC90"/>
    <mergeCell ref="AY93:BC93"/>
    <mergeCell ref="H89:AX89"/>
    <mergeCell ref="AD95:AX9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D86:G87"/>
    <mergeCell ref="F45:H45"/>
    <mergeCell ref="D30:F30"/>
    <mergeCell ref="D33:F33"/>
    <mergeCell ref="F44:H44"/>
    <mergeCell ref="B44:E44"/>
    <mergeCell ref="B30:C30"/>
    <mergeCell ref="D34:F34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L48:AF48"/>
    <mergeCell ref="L47:AF47"/>
    <mergeCell ref="AS60:AU60"/>
    <mergeCell ref="AP61:AR61"/>
    <mergeCell ref="AP60:AR60"/>
    <mergeCell ref="AJ61:AL61"/>
    <mergeCell ref="AJ60:AL60"/>
    <mergeCell ref="AM61:AO61"/>
    <mergeCell ref="AM60:AO60"/>
    <mergeCell ref="AM50:AO57"/>
    <mergeCell ref="AJ50:AL57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G50:AI57"/>
    <mergeCell ref="BB78:BC78"/>
    <mergeCell ref="AY77:BC77"/>
    <mergeCell ref="AY78:BA78"/>
    <mergeCell ref="AY73:BC73"/>
    <mergeCell ref="AY75:BC75"/>
    <mergeCell ref="AY74:BA74"/>
    <mergeCell ref="BB74:BC74"/>
    <mergeCell ref="AP50:AR57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48:BD48"/>
    <mergeCell ref="BH48:BI48"/>
    <mergeCell ref="BB45:BD45"/>
    <mergeCell ref="BE48:BF48"/>
    <mergeCell ref="BH47:BI47"/>
    <mergeCell ref="BH46:BI46"/>
    <mergeCell ref="BB46:BD46"/>
    <mergeCell ref="BJ47:BL47"/>
    <mergeCell ref="BE46:BF46"/>
    <mergeCell ref="BE47:BF47"/>
    <mergeCell ref="BB47:BD47"/>
    <mergeCell ref="BJ46:BL46"/>
    <mergeCell ref="BE57:BI57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AV46:AX46"/>
    <mergeCell ref="AS44:AU44"/>
    <mergeCell ref="AV44:AX44"/>
    <mergeCell ref="AY46:BA46"/>
    <mergeCell ref="AG37:AI44"/>
    <mergeCell ref="AM37:AO44"/>
    <mergeCell ref="AJ37:AL44"/>
    <mergeCell ref="BJ61:BL61"/>
    <mergeCell ref="AS61:AU61"/>
    <mergeCell ref="BH61:BI61"/>
    <mergeCell ref="BB61:BD61"/>
    <mergeCell ref="AY61:BA61"/>
    <mergeCell ref="BE61:BF61"/>
    <mergeCell ref="AV61:AX61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G29:J29"/>
    <mergeCell ref="D29:F29"/>
    <mergeCell ref="D31:F31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F60:H60"/>
    <mergeCell ref="F61:H61"/>
    <mergeCell ref="A71:F71"/>
    <mergeCell ref="G71:J71"/>
    <mergeCell ref="K33:AE33"/>
    <mergeCell ref="G33:J33"/>
    <mergeCell ref="T71:U71"/>
    <mergeCell ref="W71:AA71"/>
    <mergeCell ref="B34:C34"/>
    <mergeCell ref="B33:C33"/>
    <mergeCell ref="J48:K48"/>
    <mergeCell ref="G32:J32"/>
    <mergeCell ref="H79:AB79"/>
    <mergeCell ref="H75:AB75"/>
    <mergeCell ref="AB71:AG71"/>
    <mergeCell ref="D73:G73"/>
    <mergeCell ref="J61:K61"/>
    <mergeCell ref="J60:K60"/>
    <mergeCell ref="AG33:BA33"/>
    <mergeCell ref="AH71:AL71"/>
    <mergeCell ref="G23:J23"/>
    <mergeCell ref="G27:J27"/>
    <mergeCell ref="G25:J25"/>
    <mergeCell ref="G24:J24"/>
    <mergeCell ref="AG24:BA24"/>
    <mergeCell ref="AG23:BA23"/>
    <mergeCell ref="AG25:BA25"/>
    <mergeCell ref="K25:AE25"/>
    <mergeCell ref="B43:H43"/>
    <mergeCell ref="B32:C32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D32:F32"/>
    <mergeCell ref="AD86:AX86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AD94:AX94"/>
    <mergeCell ref="AD90:AX90"/>
    <mergeCell ref="H94:AB94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B74:C75"/>
    <mergeCell ref="AM71:AU71"/>
    <mergeCell ref="B73:C73"/>
    <mergeCell ref="AV71:AZ71"/>
    <mergeCell ref="H74:AB74"/>
    <mergeCell ref="D77:G77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7109375" style="0" bestFit="1" customWidth="1"/>
    <col min="5" max="6" width="12.7109375" style="0" bestFit="1" customWidth="1"/>
    <col min="7" max="8" width="3.28125" style="0" bestFit="1" customWidth="1"/>
    <col min="9" max="9" width="6.2812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7109375" style="0" bestFit="1" customWidth="1"/>
    <col min="18" max="21" width="3.00390625" style="0" bestFit="1" customWidth="1"/>
    <col min="23" max="23" width="12.71093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7109375" style="0" bestFit="1" customWidth="1"/>
    <col min="33" max="34" width="1.8515625" style="0" bestFit="1" customWidth="1"/>
    <col min="35" max="35" width="3.28125" style="0" bestFit="1" customWidth="1"/>
    <col min="37" max="37" width="1.8515625" style="0" bestFit="1" customWidth="1"/>
    <col min="38" max="40" width="3.00390625" style="0" bestFit="1" customWidth="1"/>
    <col min="41" max="41" width="7.2812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86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Bürgelschule Rathenow 1</v>
      </c>
      <c r="S4" s="163" t="str">
        <f>Q6</f>
        <v>Jahngymnasium</v>
      </c>
      <c r="T4" s="163" t="str">
        <f>Q7</f>
        <v>MCG Hohen Neuendorf 1</v>
      </c>
      <c r="U4" s="163" t="str">
        <f>Q8</f>
        <v>Regine Hildebrand GS Birkenwerder II</v>
      </c>
      <c r="V4" s="164"/>
      <c r="W4" s="162" t="s">
        <v>55</v>
      </c>
      <c r="X4" s="163" t="str">
        <f>W5</f>
        <v>Bürgelschule Rathenow 1</v>
      </c>
      <c r="Y4" s="163" t="str">
        <f>W6</f>
        <v>Jahngymnasium</v>
      </c>
      <c r="Z4" s="163" t="str">
        <f>W7</f>
        <v>MCG Hohen Neuendorf 1</v>
      </c>
      <c r="AA4" s="163" t="str">
        <f>W8</f>
        <v>Regine Hildebrand GS Birkenwerder II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2</v>
      </c>
      <c r="D5" s="151">
        <f>E5+ROW()/1000</f>
        <v>2.005</v>
      </c>
      <c r="E5" s="151">
        <f>RANK(K5,$K$5:$K$8)</f>
        <v>2</v>
      </c>
      <c r="F5" s="43" t="str">
        <f>VLOOKUP(B5,Ergebniseingabe!$C$19:$X$22,2,0)</f>
        <v>Bürgelschule Rathenow 1</v>
      </c>
      <c r="G5" s="39">
        <f>SUMPRODUCT((F5=Ergebniseingabe!$L$27:$AF$38)*(Ergebniseingabe!$BC$27:$BC$38))+SUMPRODUCT((F5=Ergebniseingabe!$AH$27:$BB$38)*(Ergebniseingabe!$BF$27:$BF$38))</f>
        <v>6</v>
      </c>
      <c r="H5" s="39">
        <f>SUMPRODUCT((F5=Ergebniseingabe!$L$27:$AF$38)*(Ergebniseingabe!$BF$27:$BF$38))+SUMPRODUCT((F5=Ergebniseingabe!$AH$27:$BB$38)*(Ergebniseingabe!$BC$27:$BC$38))</f>
        <v>3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6</v>
      </c>
      <c r="J5" s="40">
        <f>G5-H5</f>
        <v>3</v>
      </c>
      <c r="K5" s="190">
        <f>AC5+AI5+AO5</f>
        <v>603006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2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1</v>
      </c>
      <c r="Q5" s="172" t="str">
        <f>$F$5</f>
        <v>Bürgelschule Rathenow 1</v>
      </c>
      <c r="R5" s="173"/>
      <c r="S5" s="174">
        <f>IF(AND(Q5&amp;$S$4=VLOOKUP(Q5&amp;$S$4,$D$23:$I$46,1,0),VLOOKUP(Q5&amp;$S$4,$D$23:$I$46,6,0)&lt;&gt;""),VLOOKUP(Q5&amp;$S$4,$D$23:$I$46,6,0),)</f>
        <v>2</v>
      </c>
      <c r="T5" s="174">
        <f>IF(AND(Q5&amp;$T$4=VLOOKUP(Q5&amp;$T$4,$D$23:$I$46,1,0),VLOOKUP(Q5&amp;$T$4,$D$23:$I$46,6,0)&lt;&gt;""),VLOOKUP(Q5&amp;$T$4,$D$23:$I$46,6,0),)</f>
        <v>1</v>
      </c>
      <c r="U5" s="174">
        <f>IF(AND(Q5&amp;$U$4=VLOOKUP(Q5&amp;$U$4,$D$23:$I$46,1,0),VLOOKUP(Q5&amp;$U$4,$D$23:$I$46,6,0)&lt;&gt;""),VLOOKUP(Q5&amp;$U$4,$D$23:$I$46,6,0),)</f>
        <v>3</v>
      </c>
      <c r="V5" s="164"/>
      <c r="W5" s="172" t="str">
        <f>Q5</f>
        <v>Bürgelschule Rathenow 1</v>
      </c>
      <c r="X5" s="173"/>
      <c r="Y5" s="174">
        <f>IF(AND(ISNUMBER(S5),ISNUMBER(R6)),IF(S5&gt;R6,3,IF(S5=R6,1,0)),0)</f>
        <v>3</v>
      </c>
      <c r="Z5" s="174">
        <f>IF(AND(ISNUMBER(T5),ISNUMBER(R7)),IF(T5&gt;R7,3,IF(T5=R7,1,0)),0)</f>
        <v>0</v>
      </c>
      <c r="AA5" s="174">
        <f>IF(AND(ISNUMBER(U5),ISNUMBER(R8)),IF(U5&gt;R8,3,IF(U5=R8,1,0)),0)</f>
        <v>3</v>
      </c>
      <c r="AB5" s="164"/>
      <c r="AC5" s="175">
        <f>I5*100000+J5*1000+G5</f>
        <v>603006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3</v>
      </c>
      <c r="AM5" s="168">
        <f>J5-INDEX(R5:U5,1,AK4)-INDEX(R5:R8,AK4,1)-ABS(AS5)-ABS(AX5)</f>
        <v>1</v>
      </c>
      <c r="AN5" s="168">
        <f>G5-INDEX(R5:U5,1,$AK$4)-AT5-AY5</f>
        <v>3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3</v>
      </c>
      <c r="AS5" s="168">
        <f>IF(ISNA($AQ$4),0,(INDEX(R5:U5,1,AQ4)-INDEX(R5:R8,AQ4,1)))</f>
        <v>1</v>
      </c>
      <c r="AT5" s="168">
        <f>IF(ISNA($AQ$4),0,INDEX(R5:U5,1,$AQ$4))</f>
        <v>2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-1</v>
      </c>
      <c r="AY5" s="168">
        <f>IF(ISNA($AV$4),0,INDEX(R5:U5,1,$AV$4))</f>
        <v>1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3</v>
      </c>
      <c r="D6" s="151">
        <f>E6+ROW()/1000</f>
        <v>3.006</v>
      </c>
      <c r="E6" s="151">
        <f>RANK(K6,$K$5:$K$8)</f>
        <v>3</v>
      </c>
      <c r="F6" s="43" t="str">
        <f>VLOOKUP(B6,Ergebniseingabe!$C$19:$X$22,2,0)</f>
        <v>Jahngymnasium</v>
      </c>
      <c r="G6" s="39">
        <f>SUMPRODUCT((F6=Ergebniseingabe!$L$27:$AF$38)*(Ergebniseingabe!$BC$27:$BC$38))+SUMPRODUCT((F6=Ergebniseingabe!$AH$27:$BB$38)*(Ergebniseingabe!$BF$27:$BF$38))</f>
        <v>4</v>
      </c>
      <c r="H6" s="39">
        <f>SUMPRODUCT((F6=Ergebniseingabe!$L$27:$AF$38)*(Ergebniseingabe!$BF$27:$BF$38))+SUMPRODUCT((F6=Ergebniseingabe!$AH$27:$BB$38)*(Ergebniseingabe!$BC$27:$BC$38))</f>
        <v>5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3</v>
      </c>
      <c r="J6" s="40">
        <f>G6-H6</f>
        <v>-1</v>
      </c>
      <c r="K6" s="190">
        <f>AC6+AI6+AO6</f>
        <v>299004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1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2</v>
      </c>
      <c r="Q6" s="172" t="str">
        <f>$F$6</f>
        <v>Jahngymnasium</v>
      </c>
      <c r="R6" s="174">
        <f>IF(AND(Q6&amp;$R$4=VLOOKUP(Q6&amp;$R$4,$D$23:$I$46,1,0),VLOOKUP(Q6&amp;$R$4,$D$23:$I$46,6,0)&lt;&gt;""),VLOOKUP(Q6&amp;$R$4,$D$23:$I$46,6,0),)</f>
        <v>1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2</v>
      </c>
      <c r="V6" s="164"/>
      <c r="W6" s="181" t="str">
        <f>Q6</f>
        <v>Jahngymnasium</v>
      </c>
      <c r="X6" s="174">
        <f>IF(AND(ISNUMBER(R6),ISNUMBER(S5)),IF(R6&gt;S5,3,IF(R6=S5,1,0)),0)</f>
        <v>0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299004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2</v>
      </c>
      <c r="AM6" s="168">
        <f>J6-INDEX(R6:U6,1,AK4)-INDEX(S5:S8,AK4,1)-ABS(AS6)-ABS(AX6)</f>
        <v>-4</v>
      </c>
      <c r="AN6" s="168">
        <f>G6-INDEX(R6:U6,1,$AK$4)-AT6-AY6</f>
        <v>3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1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MCG Hohen Neuendorf 1</v>
      </c>
      <c r="G7" s="39">
        <f>SUMPRODUCT((F7=Ergebniseingabe!$L$27:$AF$38)*(Ergebniseingabe!$BC$27:$BC$38))+SUMPRODUCT((F7=Ergebniseingabe!$AH$27:$BB$38)*(Ergebniseingabe!$BF$27:$BF$38))</f>
        <v>7</v>
      </c>
      <c r="H7" s="39">
        <f>SUMPRODUCT((F7=Ergebniseingabe!$L$27:$AF$38)*(Ergebniseingabe!$BF$27:$BF$38))+SUMPRODUCT((F7=Ergebniseingabe!$AH$27:$BB$38)*(Ergebniseingabe!$BC$27:$BC$38))</f>
        <v>2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9</v>
      </c>
      <c r="J7" s="40">
        <f>G7-H7</f>
        <v>5</v>
      </c>
      <c r="K7" s="190">
        <f>AC7+AI7+AO7</f>
        <v>905007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3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MCG Hohen Neuendorf 1</v>
      </c>
      <c r="R7" s="174">
        <f>IF(AND(Q7&amp;$R$4=VLOOKUP(Q7&amp;$R$4,$D$23:$I$46,1,0),VLOOKUP(Q7&amp;$R$4,$D$23:$I$46,6,0)&lt;&gt;""),VLOOKUP(Q7&amp;$R$4,$D$23:$I$46,6,0),)</f>
        <v>2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3</v>
      </c>
      <c r="V7" s="164"/>
      <c r="W7" s="181" t="str">
        <f>Q7</f>
        <v>MCG Hohen Neuendorf 1</v>
      </c>
      <c r="X7" s="174">
        <f>IF(AND(ISNUMBER(R7),ISNUMBER(T5)),IF(R7&gt;T5,3,IF(R7=T5,1,0)),0)</f>
        <v>3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905007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5</v>
      </c>
      <c r="AM7" s="168">
        <f>J7-INDEX(R7:U7,1,AK4)-INDEX(T5:T8,AK4,1)-ABS(AS7)-ABS(AX7)</f>
        <v>2</v>
      </c>
      <c r="AN7" s="168">
        <f>G7-INDEX(R7:U7,1,$AK$4)-AT7-AY7</f>
        <v>5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4.008</v>
      </c>
      <c r="E8" s="151">
        <f>RANK(K8,$K$5:$K$8)</f>
        <v>4</v>
      </c>
      <c r="F8" s="43" t="str">
        <f>VLOOKUP(B8,Ergebniseingabe!$C$19:$X$22,2,0)</f>
        <v>Regine Hildebrand GS Birkenwerder II</v>
      </c>
      <c r="G8" s="39">
        <f>SUMPRODUCT((F8=Ergebniseingabe!$L$27:$AF$38)*(Ergebniseingabe!$BC$27:$BC$38))+SUMPRODUCT((F8=Ergebniseingabe!$AH$27:$BB$38)*(Ergebniseingabe!$BF$27:$BF$38))</f>
        <v>1</v>
      </c>
      <c r="H8" s="39">
        <f>SUMPRODUCT((F8=Ergebniseingabe!$L$27:$AF$38)*(Ergebniseingabe!$BF$27:$BF$38))+SUMPRODUCT((F8=Ergebniseingabe!$AH$27:$BB$38)*(Ergebniseingabe!$BC$27:$BC$38))</f>
        <v>8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-7</v>
      </c>
      <c r="K8" s="190">
        <f>AC8+AI8+AO8</f>
        <v>-6999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3</v>
      </c>
      <c r="Q8" s="184" t="str">
        <f>$F$8</f>
        <v>Regine Hildebrand GS Birkenwerder II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1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Regine Hildebrand GS Birkenwerder II</v>
      </c>
      <c r="X8" s="174">
        <f>IF(AND(ISNUMBER(R8),ISNUMBER(U5)),IF(R8&gt;U5,3,IF(R8=U5,1,0)),0)</f>
        <v>0</v>
      </c>
      <c r="Y8" s="174">
        <f>IF(AND(ISNUMBER(S8),ISNUMBER(U6)),IF(S8&gt;U6,3,IF(S8=U6,1,0)),0)</f>
        <v>0</v>
      </c>
      <c r="Z8" s="174">
        <f>IF(AND(ISNUMBER(T8),ISNUMBER(U7)),IF(T8&gt;U7,3,IF(T8=U7,1,0)),0)</f>
        <v>0</v>
      </c>
      <c r="AA8" s="173"/>
      <c r="AB8" s="164"/>
      <c r="AC8" s="175">
        <f>I8*100000+J8*1000+G8</f>
        <v>-6999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-14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-1</v>
      </c>
      <c r="AT8" s="168">
        <f>IF(ISNA($AQ$4),0,INDEX(R8:U8,1,$AQ$4))</f>
        <v>1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-3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9.75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Regine Hildebrand Birkenwerder I</v>
      </c>
      <c r="S13" s="163" t="str">
        <f>Q15</f>
        <v>MCG Hohen Neuendorf 2</v>
      </c>
      <c r="T13" s="163" t="str">
        <f>Q16</f>
        <v>Runge Gymnasium Oranienburg</v>
      </c>
      <c r="U13" s="163" t="str">
        <f>Q17</f>
        <v>Bürgelschule Rathenow 2</v>
      </c>
      <c r="V13" s="164"/>
      <c r="W13" s="162" t="s">
        <v>55</v>
      </c>
      <c r="X13" s="163" t="str">
        <f>W14</f>
        <v>Regine Hildebrand Birkenwerder I</v>
      </c>
      <c r="Y13" s="163" t="str">
        <f>W15</f>
        <v>MCG Hohen Neuendorf 2</v>
      </c>
      <c r="Z13" s="163" t="str">
        <f>W16</f>
        <v>Runge Gymnasium Oranienburg</v>
      </c>
      <c r="AA13" s="163" t="str">
        <f>W17</f>
        <v>Bürgelschule Rathenow 2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Regine Hildebrand Birkenwerder I</v>
      </c>
      <c r="G14" s="39">
        <f>SUMPRODUCT((F14=Ergebniseingabe!$L$27:$AF$38)*(Ergebniseingabe!$BC$27:$BC$38))+SUMPRODUCT((F14=Ergebniseingabe!$AH$27:$BB$38)*(Ergebniseingabe!$BF$27:$BF$38))</f>
        <v>6</v>
      </c>
      <c r="H14" s="39">
        <f>SUMPRODUCT((F14=Ergebniseingabe!$L$27:$AF$38)*(Ergebniseingabe!$BF$27:$BF$38))+SUMPRODUCT((F14=Ergebniseingabe!$AH$27:$BB$38)*(Ergebniseingabe!$BC$27:$BC$38))</f>
        <v>3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6</v>
      </c>
      <c r="J14" s="40">
        <f>G14-H14</f>
        <v>3</v>
      </c>
      <c r="K14" s="190">
        <f>AC14+AI14+AO14</f>
        <v>603006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2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1</v>
      </c>
      <c r="Q14" s="172" t="str">
        <f>F14</f>
        <v>Regine Hildebrand Birkenwerder I</v>
      </c>
      <c r="R14" s="173"/>
      <c r="S14" s="174">
        <f>IF(AND(Q14&amp;$S$13=VLOOKUP(Q14&amp;$S$13,$D$23:$I$46,1,0),VLOOKUP(Q14&amp;$S$13,$D$23:$I$46,6,0)&lt;&gt;""),VLOOKUP(Q14&amp;$S$13,$D$23:$I$46,6,0),)</f>
        <v>2</v>
      </c>
      <c r="T14" s="174">
        <f>IF(AND(Q14&amp;$T$13=VLOOKUP(Q14&amp;$T$13,$D$23:$I$46,1,0),VLOOKUP(Q14&amp;$T$13,$D$23:$I$46,6,0)&lt;&gt;""),VLOOKUP(Q14&amp;$T$13,$D$23:$I$46,6,0),)</f>
        <v>3</v>
      </c>
      <c r="U14" s="174">
        <f>IF(AND(Q14&amp;$U$13=VLOOKUP(Q14&amp;$U$13,$D$23:$I$46,1,0),VLOOKUP(Q14&amp;$U$13,$D$23:$I$46,6,0)&lt;&gt;""),VLOOKUP(Q14&amp;$U$13,$D$23:$I$46,6,0),)</f>
        <v>1</v>
      </c>
      <c r="V14" s="164"/>
      <c r="W14" s="172" t="str">
        <f>Q14</f>
        <v>Regine Hildebrand Birkenwerder I</v>
      </c>
      <c r="X14" s="173"/>
      <c r="Y14" s="174">
        <f>IF(AND(ISNUMBER(S14),ISNUMBER(R15)),IF(S14&gt;R15,3,IF(S14=R15,1,0)),0)</f>
        <v>3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0</v>
      </c>
      <c r="AB14" s="164"/>
      <c r="AC14" s="175">
        <f>I14*100000+J14*1000+G14</f>
        <v>603006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0</v>
      </c>
      <c r="AM14" s="168">
        <f>J14-INDEX(R14:U14,1,AK13)-INDEX(R14:R17,AK13,1)-ABS(AS14)-ABS(AX14)</f>
        <v>-1</v>
      </c>
      <c r="AN14" s="168">
        <f>G14-INDEX(R14:U14,1,$AK$13)-AT14-AY14</f>
        <v>1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3</v>
      </c>
      <c r="AS14" s="168">
        <f>IF(ISNA($AQ$13),0,(INDEX(R14:U14,1,$AQ$13)-INDEX(R14:R17,$AQ$13,1)))</f>
        <v>1</v>
      </c>
      <c r="AT14" s="168">
        <f>IF(ISNA($AQ$13),0,INDEX(R14:U14,1,$AQ$13))</f>
        <v>2</v>
      </c>
      <c r="AU14" s="166"/>
      <c r="AV14" s="180"/>
      <c r="AW14" s="168">
        <f>IF(ISNA($AV$13),0,INDEX(X14:AA14,1,$AV$13))</f>
        <v>3</v>
      </c>
      <c r="AX14" s="168">
        <f>IF(ISNA($AV$13),0,(INDEX(R14:U14,1,$AV$13)-INDEX(R14:R17,$AV$13,1)))</f>
        <v>3</v>
      </c>
      <c r="AY14" s="168">
        <f>IF(ISNA($AV$13),0,INDEX(R14:U14,1,$AV$13))</f>
        <v>3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3</v>
      </c>
      <c r="D15" s="151">
        <f>E15+ROW()/1000</f>
        <v>3.015</v>
      </c>
      <c r="E15" s="151">
        <f>RANK(K15,$K$14:$K$17)</f>
        <v>3</v>
      </c>
      <c r="F15" s="43" t="str">
        <f>VLOOKUP(B15,Ergebniseingabe!$AB$19:$AW$22,2,0)</f>
        <v>MCG Hohen Neuendorf 2</v>
      </c>
      <c r="G15" s="39">
        <f>SUMPRODUCT((F15=Ergebniseingabe!$L$27:$AF$38)*(Ergebniseingabe!$BC$27:$BC$38))+SUMPRODUCT((F15=Ergebniseingabe!$AH$27:$BB$38)*(Ergebniseingabe!$BF$27:$BF$38))</f>
        <v>5</v>
      </c>
      <c r="H15" s="39">
        <f>SUMPRODUCT((F15=Ergebniseingabe!$L$27:$AF$38)*(Ergebniseingabe!$BF$27:$BF$38))+SUMPRODUCT((F15=Ergebniseingabe!$AH$27:$BB$38)*(Ergebniseingabe!$BC$27:$BC$38))</f>
        <v>4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3</v>
      </c>
      <c r="J15" s="40">
        <f>G15-H15</f>
        <v>1</v>
      </c>
      <c r="K15" s="190">
        <f>AC15+AI15+AO15</f>
        <v>301005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1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2</v>
      </c>
      <c r="Q15" s="172" t="str">
        <f>F15</f>
        <v>MCG Hohen Neuendorf 2</v>
      </c>
      <c r="R15" s="174">
        <f>IF(AND(Q15&amp;$R$13=VLOOKUP(Q15&amp;$R$13,$D$23:$I$46,1,0),VLOOKUP(Q15&amp;$R$13,$D$23:$I$46,6,0)&lt;&gt;""),VLOOKUP(Q15&amp;$R$13,$D$23:$I$46,6,0),)</f>
        <v>1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3</v>
      </c>
      <c r="V15" s="164"/>
      <c r="W15" s="181" t="str">
        <f>Q15</f>
        <v>MCG Hohen Neuendorf 2</v>
      </c>
      <c r="X15" s="174">
        <f>IF(AND(ISNUMBER(R15),ISNUMBER(S14)),IF(R15&gt;S14,3,IF(R15=S14,1,0)),0)</f>
        <v>0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301005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2</v>
      </c>
      <c r="AM15" s="168">
        <f>J15-INDEX(R15:U15,1,AK13)-INDEX(S14:S17,AK13,1)-ABS(AS15)-ABS(AX15)</f>
        <v>-2</v>
      </c>
      <c r="AN15" s="168">
        <f>G15-INDEX(R15:U15,1,$AK$13)-AT15-AY15</f>
        <v>4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2</v>
      </c>
      <c r="D16" s="151">
        <f>E16+ROW()/1000</f>
        <v>2.016</v>
      </c>
      <c r="E16" s="151">
        <f>RANK(K16,$K$14:$K$17)</f>
        <v>2</v>
      </c>
      <c r="F16" s="43" t="str">
        <f>VLOOKUP(B16,Ergebniseingabe!$AB$19:$AW$22,2,0)</f>
        <v>Runge Gymnasium Oranienburg</v>
      </c>
      <c r="G16" s="39">
        <f>SUMPRODUCT((F16=Ergebniseingabe!$L$27:$AF$38)*(Ergebniseingabe!$BC$27:$BC$38))+SUMPRODUCT((F16=Ergebniseingabe!$AH$27:$BB$38)*(Ergebniseingabe!$BF$27:$BF$38))</f>
        <v>4</v>
      </c>
      <c r="H16" s="39">
        <f>SUMPRODUCT((F16=Ergebniseingabe!$L$27:$AF$38)*(Ergebniseingabe!$BF$27:$BF$38))+SUMPRODUCT((F16=Ergebniseingabe!$AH$27:$BB$38)*(Ergebniseingabe!$BC$27:$BC$38))</f>
        <v>5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6</v>
      </c>
      <c r="J16" s="40">
        <f>G16-H16</f>
        <v>-1</v>
      </c>
      <c r="K16" s="190">
        <f>AC16+AI16+AO16</f>
        <v>599004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2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 t="str">
        <f>F16</f>
        <v>Runge Gymnasium Oranienburg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2</v>
      </c>
      <c r="V16" s="164"/>
      <c r="W16" s="181" t="str">
        <f>Q16</f>
        <v>Runge Gymnasium Oranienburg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3</v>
      </c>
      <c r="AB16" s="164"/>
      <c r="AC16" s="175">
        <f>I16*100000+J16*1000+G16</f>
        <v>599004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5</v>
      </c>
      <c r="AM16" s="168">
        <f>J16-INDEX(R16:U16,1,AK13)-INDEX(T14:T17,AK13,1)-ABS(AS16)-ABS(AX16)</f>
        <v>-4</v>
      </c>
      <c r="AN16" s="168">
        <f>G16-INDEX(R16:U16,1,$AK$13)-AT16-AY16</f>
        <v>4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4.017</v>
      </c>
      <c r="E17" s="151">
        <f>RANK(K17,$K$14:$K$17)</f>
        <v>4</v>
      </c>
      <c r="F17" s="43" t="str">
        <f>VLOOKUP(B17,Ergebniseingabe!$AB$19:$AW$22,2,0)</f>
        <v>Bürgelschule Rathenow 2</v>
      </c>
      <c r="G17" s="39">
        <f>SUMPRODUCT((F17=Ergebniseingabe!$L$27:$AF$38)*(Ergebniseingabe!$BC$27:$BC$38))+SUMPRODUCT((F17=Ergebniseingabe!$AH$27:$BB$38)*(Ergebniseingabe!$BF$27:$BF$38))</f>
        <v>3</v>
      </c>
      <c r="H17" s="39">
        <f>SUMPRODUCT((F17=Ergebniseingabe!$L$27:$AF$38)*(Ergebniseingabe!$BF$27:$BF$38))+SUMPRODUCT((F17=Ergebniseingabe!$AH$27:$BB$38)*(Ergebniseingabe!$BC$27:$BC$38))</f>
        <v>6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3</v>
      </c>
      <c r="J17" s="40">
        <f>G17-H17</f>
        <v>-3</v>
      </c>
      <c r="K17" s="190">
        <f>AC17+AI17+AO17</f>
        <v>297003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1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2</v>
      </c>
      <c r="Q17" s="172" t="str">
        <f>F17</f>
        <v>Bürgelschule Rathenow 2</v>
      </c>
      <c r="R17" s="174">
        <f>IF(AND(Q17&amp;$R$13=VLOOKUP(Q17&amp;$R$13,$D$23:$I$46,1,0),VLOOKUP(Q17&amp;$R$13,$D$23:$I$46,6,0)&lt;&gt;""),VLOOKUP(Q17&amp;$R$13,$D$23:$I$46,6,0),)</f>
        <v>2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1</v>
      </c>
      <c r="U17" s="173"/>
      <c r="V17" s="164"/>
      <c r="W17" s="185" t="str">
        <f>Q17</f>
        <v>Bürgelschule Rathenow 2</v>
      </c>
      <c r="X17" s="174">
        <f>IF(AND(ISNUMBER(R17),ISNUMBER(U14)),IF(R17&gt;U14,3,IF(R17=U14,1,0)),0)</f>
        <v>3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0</v>
      </c>
      <c r="AA17" s="173"/>
      <c r="AB17" s="164"/>
      <c r="AC17" s="175">
        <f>I17*100000+J17*1000+G17</f>
        <v>297003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-10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-3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-1</v>
      </c>
      <c r="AY17" s="168">
        <f>IF(ISNA($AV$13),0,INDEX(R17:U17,1,$AV$13))</f>
        <v>1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9.75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Bürgelschule Rathenow 1Jahngymnasium</v>
      </c>
      <c r="E23" s="36" t="str">
        <f>F5</f>
        <v>Bürgelschule Rathenow 1</v>
      </c>
      <c r="F23" s="36" t="str">
        <f>F6</f>
        <v>Jahngymnasium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2:1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2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Bürgelschule Rathenow 1MCG Hohen Neuendorf 1</v>
      </c>
      <c r="E24" s="36" t="str">
        <f>F5</f>
        <v>Bürgelschule Rathenow 1</v>
      </c>
      <c r="F24" s="36" t="str">
        <f>F7</f>
        <v>MCG Hohen Neuendorf 1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1:2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1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Bürgelschule Rathenow 1Regine Hildebrand GS Birkenwerder II</v>
      </c>
      <c r="E25" s="36" t="str">
        <f>F5</f>
        <v>Bürgelschule Rathenow 1</v>
      </c>
      <c r="F25" s="36" t="str">
        <f>F8</f>
        <v>Regine Hildebrand GS Birkenwerder II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3:0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3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JahngymnasiumMCG Hohen Neuendorf 1</v>
      </c>
      <c r="E26" s="36" t="str">
        <f>F6</f>
        <v>Jahngymnasium</v>
      </c>
      <c r="F26" s="36" t="str">
        <f>F7</f>
        <v>MCG Hohen Neuendorf 1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1:2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JahngymnasiumRegine Hildebrand GS Birkenwerder II</v>
      </c>
      <c r="E27" s="36" t="str">
        <f>F6</f>
        <v>Jahngymnasium</v>
      </c>
      <c r="F27" s="36" t="str">
        <f>F8</f>
        <v>Regine Hildebrand GS Birkenwerder II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2:1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2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MCG Hohen Neuendorf 1Regine Hildebrand GS Birkenwerder II</v>
      </c>
      <c r="E28" s="36" t="str">
        <f>F7</f>
        <v>MCG Hohen Neuendorf 1</v>
      </c>
      <c r="F28" s="36" t="str">
        <f>F8</f>
        <v>Regine Hildebrand GS Birkenwerder II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3:0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3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JahngymnasiumBürgelschule Rathenow 1</v>
      </c>
      <c r="E29" s="36" t="str">
        <f aca="true" t="shared" si="1" ref="E29:E34">F23</f>
        <v>Jahngymnasium</v>
      </c>
      <c r="F29" s="36" t="str">
        <f aca="true" t="shared" si="2" ref="F29:F34">E23</f>
        <v>Bürgelschule Rathenow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1:2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1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MCG Hohen Neuendorf 1Bürgelschule Rathenow 1</v>
      </c>
      <c r="E30" s="36" t="str">
        <f t="shared" si="1"/>
        <v>MCG Hohen Neuendorf 1</v>
      </c>
      <c r="F30" s="36" t="str">
        <f t="shared" si="2"/>
        <v>Bürgelschule Rathenow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2:1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2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Regine Hildebrand GS Birkenwerder IIBürgelschule Rathenow 1</v>
      </c>
      <c r="E31" s="36" t="str">
        <f t="shared" si="1"/>
        <v>Regine Hildebrand GS Birkenwerder II</v>
      </c>
      <c r="F31" s="36" t="str">
        <f t="shared" si="2"/>
        <v>Bürgelschule Rathenow 1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0:3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MCG Hohen Neuendorf 1Jahngymnasium</v>
      </c>
      <c r="E32" s="36" t="str">
        <f t="shared" si="1"/>
        <v>MCG Hohen Neuendorf 1</v>
      </c>
      <c r="F32" s="36" t="str">
        <f t="shared" si="2"/>
        <v>Jahngymnasium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2:1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Regine Hildebrand GS Birkenwerder IIJahngymnasium</v>
      </c>
      <c r="E33" s="36" t="str">
        <f t="shared" si="1"/>
        <v>Regine Hildebrand GS Birkenwerder II</v>
      </c>
      <c r="F33" s="36" t="str">
        <f t="shared" si="2"/>
        <v>Jahngymnasium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1:2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1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Regine Hildebrand GS Birkenwerder IIMCG Hohen Neuendorf 1</v>
      </c>
      <c r="E34" s="36" t="str">
        <f t="shared" si="1"/>
        <v>Regine Hildebrand GS Birkenwerder II</v>
      </c>
      <c r="F34" s="36" t="str">
        <f t="shared" si="2"/>
        <v>MCG Hohen Neuendorf 1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0:3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Regine Hildebrand Birkenwerder IMCG Hohen Neuendorf 2</v>
      </c>
      <c r="E35" s="36" t="str">
        <f>F14</f>
        <v>Regine Hildebrand Birkenwerder I</v>
      </c>
      <c r="F35" s="36" t="str">
        <f>F15</f>
        <v>MCG Hohen Neuendorf 2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2:1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2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Regine Hildebrand Birkenwerder IRunge Gymnasium Oranienburg</v>
      </c>
      <c r="E36" s="36" t="str">
        <f>F14</f>
        <v>Regine Hildebrand Birkenwerder I</v>
      </c>
      <c r="F36" s="36" t="str">
        <f>F16</f>
        <v>Runge Gymnasium Oranienburg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3:0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3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Regine Hildebrand Birkenwerder IBürgelschule Rathenow 2</v>
      </c>
      <c r="E37" s="36" t="str">
        <f>F14</f>
        <v>Regine Hildebrand Birkenwerder I</v>
      </c>
      <c r="F37" s="36" t="str">
        <f>F17</f>
        <v>Bürgelschule Rathenow 2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1:2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1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MCG Hohen Neuendorf 2Runge Gymnasium Oranienburg</v>
      </c>
      <c r="E38" s="36" t="str">
        <f>F15</f>
        <v>MCG Hohen Neuendorf 2</v>
      </c>
      <c r="F38" s="36" t="str">
        <f>F16</f>
        <v>Runge Gymnasium Oranienburg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1:2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MCG Hohen Neuendorf 2Bürgelschule Rathenow 2</v>
      </c>
      <c r="E39" s="36" t="str">
        <f>F15</f>
        <v>MCG Hohen Neuendorf 2</v>
      </c>
      <c r="F39" s="36" t="str">
        <f>F17</f>
        <v>Bürgelschule Rathenow 2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3:0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3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Runge Gymnasium OranienburgBürgelschule Rathenow 2</v>
      </c>
      <c r="E40" s="36" t="str">
        <f>F16</f>
        <v>Runge Gymnasium Oranienburg</v>
      </c>
      <c r="F40" s="36" t="str">
        <f>F17</f>
        <v>Bürgelschule Rathenow 2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2:1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2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MCG Hohen Neuendorf 2Regine Hildebrand Birkenwerder I</v>
      </c>
      <c r="E41" s="36" t="str">
        <f aca="true" t="shared" si="3" ref="E41:E46">F35</f>
        <v>MCG Hohen Neuendorf 2</v>
      </c>
      <c r="F41" s="36" t="str">
        <f aca="true" t="shared" si="4" ref="F41:F46">E35</f>
        <v>Regine Hildebrand Birkenwerder I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1:2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1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Runge Gymnasium OranienburgRegine Hildebrand Birkenwerder I</v>
      </c>
      <c r="E42" s="36" t="str">
        <f t="shared" si="3"/>
        <v>Runge Gymnasium Oranienburg</v>
      </c>
      <c r="F42" s="36" t="str">
        <f t="shared" si="4"/>
        <v>Regine Hildebrand Birkenwerder I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0:3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Bürgelschule Rathenow 2Regine Hildebrand Birkenwerder I</v>
      </c>
      <c r="E43" s="36" t="str">
        <f t="shared" si="3"/>
        <v>Bürgelschule Rathenow 2</v>
      </c>
      <c r="F43" s="36" t="str">
        <f t="shared" si="4"/>
        <v>Regine Hildebrand Birkenwerder I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2:1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2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Runge Gymnasium OranienburgMCG Hohen Neuendorf 2</v>
      </c>
      <c r="E44" s="36" t="str">
        <f t="shared" si="3"/>
        <v>Runge Gymnasium Oranienburg</v>
      </c>
      <c r="F44" s="36" t="str">
        <f t="shared" si="4"/>
        <v>MCG Hohen Neuendorf 2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2:1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Bürgelschule Rathenow 2MCG Hohen Neuendorf 2</v>
      </c>
      <c r="E45" s="36" t="str">
        <f t="shared" si="3"/>
        <v>Bürgelschule Rathenow 2</v>
      </c>
      <c r="F45" s="36" t="str">
        <f t="shared" si="4"/>
        <v>MCG Hohen Neuendorf 2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0:3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Bürgelschule Rathenow 2Runge Gymnasium Oranienburg</v>
      </c>
      <c r="E46" s="36" t="str">
        <f t="shared" si="3"/>
        <v>Bürgelschule Rathenow 2</v>
      </c>
      <c r="F46" s="36" t="str">
        <f t="shared" si="4"/>
        <v>Runge Gymnasium Oranienburg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1:2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1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Microsoft Office User</cp:lastModifiedBy>
  <dcterms:created xsi:type="dcterms:W3CDTF">2010-02-21T20:13:34Z</dcterms:created>
  <dcterms:modified xsi:type="dcterms:W3CDTF">2022-09-14T13:32:45Z</dcterms:modified>
  <cp:category/>
  <cp:version/>
  <cp:contentType/>
  <cp:contentStatus/>
</cp:coreProperties>
</file>